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C:\Users\AngelaGarzieri\Downloads\"/>
    </mc:Choice>
  </mc:AlternateContent>
  <xr:revisionPtr revIDLastSave="0" documentId="8_{F8F31690-3CAB-4D7E-B9C2-C597DA509FA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2932" yWindow="-48" windowWidth="23256" windowHeight="1245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List'!$A$4:$Q$347</definedName>
    <definedName name="_xlnm._FilterDatabase" localSheetId="7" hidden="1">'Smelter Look-up'!$A$4:$I$608</definedName>
    <definedName name="_xlnm._FilterDatabase" localSheetId="10" hidden="1">SorP!$A$1:$C$6226</definedName>
    <definedName name="_xlnm.Print_Area" localSheetId="3">Declaration!$A$1:$L$92</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List'!$B$5:$B$347</definedName>
    <definedName name="SN" comment="smelter list for dropdown">OFFSET('Smelter Look-up'!$B$4,MATCH(!$B1,'Smelter Look-up'!$A:$A,0)-4,0,COUNTIF('Smelter Look-up'!$A:$A,!$B1),1)</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 i="5" l="1"/>
  <c r="T5" i="5"/>
  <c r="S6" i="5"/>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F69" i="6"/>
  <c r="D4" i="5"/>
  <c r="E4" i="5"/>
  <c r="V5"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G69" i="6" a="1"/>
  <c r="G69" i="6"/>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346" i="5"/>
  <c r="I342" i="5"/>
  <c r="H338" i="5"/>
  <c r="F337" i="5"/>
  <c r="S335" i="5"/>
  <c r="S331" i="5"/>
  <c r="S327" i="5"/>
  <c r="S325" i="5"/>
  <c r="J324" i="5"/>
  <c r="S324" i="5"/>
  <c r="S323" i="5"/>
  <c r="I318" i="5"/>
  <c r="S318" i="5"/>
  <c r="R317" i="5"/>
  <c r="J316" i="5"/>
  <c r="S316" i="5"/>
  <c r="R315" i="5"/>
  <c r="S312" i="5"/>
  <c r="S310" i="5"/>
  <c r="R309" i="5"/>
  <c r="S308" i="5"/>
  <c r="S304" i="5"/>
  <c r="S302" i="5"/>
  <c r="X300" i="5"/>
  <c r="S300" i="5"/>
  <c r="S297" i="5"/>
  <c r="F293" i="5"/>
  <c r="S292" i="5"/>
  <c r="I290" i="5"/>
  <c r="S288" i="5"/>
  <c r="R285" i="5"/>
  <c r="I281" i="5"/>
  <c r="F279" i="5"/>
  <c r="S279" i="5"/>
  <c r="H276" i="5"/>
  <c r="S276" i="5"/>
  <c r="S274" i="5"/>
  <c r="S272" i="5"/>
  <c r="S270" i="5"/>
  <c r="F268" i="5"/>
  <c r="S268" i="5"/>
  <c r="S264" i="5"/>
  <c r="S263" i="5"/>
  <c r="S262" i="5"/>
  <c r="S260" i="5"/>
  <c r="S259" i="5"/>
  <c r="S258" i="5"/>
  <c r="S256" i="5"/>
  <c r="S252" i="5"/>
  <c r="S248" i="5"/>
  <c r="S247" i="5"/>
  <c r="S244" i="5"/>
  <c r="S240" i="5"/>
  <c r="S239" i="5"/>
  <c r="R238" i="5"/>
  <c r="X236" i="5"/>
  <c r="S236" i="5"/>
  <c r="S234" i="5"/>
  <c r="R233" i="5"/>
  <c r="S232" i="5"/>
  <c r="F231" i="5"/>
  <c r="S228" i="5"/>
  <c r="R225" i="5"/>
  <c r="F223" i="5"/>
  <c r="S223" i="5"/>
  <c r="S221" i="5"/>
  <c r="S220" i="5"/>
  <c r="S219" i="5"/>
  <c r="S216" i="5"/>
  <c r="F215" i="5"/>
  <c r="S213" i="5"/>
  <c r="S212" i="5"/>
  <c r="S211" i="5"/>
  <c r="F209" i="5"/>
  <c r="R208" i="5"/>
  <c r="S208" i="5"/>
  <c r="F207" i="5"/>
  <c r="S206" i="5"/>
  <c r="S205" i="5"/>
  <c r="S204" i="5"/>
  <c r="S203" i="5"/>
  <c r="S199" i="5"/>
  <c r="X198" i="5"/>
  <c r="S198" i="5"/>
  <c r="S197" i="5"/>
  <c r="S196" i="5"/>
  <c r="S194" i="5"/>
  <c r="S190" i="5"/>
  <c r="H189" i="5"/>
  <c r="H188" i="5"/>
  <c r="S186" i="5"/>
  <c r="S184" i="5"/>
  <c r="X181" i="5"/>
  <c r="H180" i="5"/>
  <c r="S180" i="5"/>
  <c r="S179" i="5"/>
  <c r="S178" i="5"/>
  <c r="S175" i="5"/>
  <c r="S174" i="5"/>
  <c r="S171" i="5"/>
  <c r="S170" i="5"/>
  <c r="S166" i="5"/>
  <c r="F164" i="5"/>
  <c r="S160" i="5"/>
  <c r="J157" i="5"/>
  <c r="S157" i="5"/>
  <c r="J149" i="5"/>
  <c r="S149" i="5"/>
  <c r="J146" i="5"/>
  <c r="S145" i="5"/>
  <c r="S144" i="5"/>
  <c r="H142" i="5"/>
  <c r="H140" i="5"/>
  <c r="S140" i="5"/>
  <c r="F138" i="5"/>
  <c r="S136" i="5"/>
  <c r="H134" i="5"/>
  <c r="F131" i="5"/>
  <c r="S131" i="5"/>
  <c r="J129" i="5"/>
  <c r="S128" i="5"/>
  <c r="X125" i="5"/>
  <c r="H123" i="5"/>
  <c r="S121" i="5"/>
  <c r="I120" i="5"/>
  <c r="S120" i="5"/>
  <c r="S117" i="5"/>
  <c r="F110" i="5"/>
  <c r="S110" i="5"/>
  <c r="S109" i="5"/>
  <c r="S107" i="5"/>
  <c r="S106" i="5"/>
  <c r="S105" i="5"/>
  <c r="I104" i="5"/>
  <c r="S103" i="5"/>
  <c r="S101" i="5"/>
  <c r="S99" i="5"/>
  <c r="R98" i="5"/>
  <c r="H95" i="5"/>
  <c r="S94" i="5"/>
  <c r="R92" i="5"/>
  <c r="S91" i="5"/>
  <c r="S90" i="5"/>
  <c r="S89" i="5"/>
  <c r="R86" i="5"/>
  <c r="S86" i="5"/>
  <c r="H83" i="5"/>
  <c r="S83" i="5"/>
  <c r="F82" i="5"/>
  <c r="S82" i="5"/>
  <c r="S78" i="5"/>
  <c r="R71" i="5"/>
  <c r="R65" i="5"/>
  <c r="R63" i="5"/>
  <c r="R53" i="5"/>
  <c r="X20" i="5"/>
  <c r="X5" i="5"/>
  <c r="B90" i="4"/>
  <c r="H67" i="4"/>
  <c r="P47" i="4"/>
  <c r="P46" i="4"/>
  <c r="P45" i="4"/>
  <c r="P44" i="4"/>
  <c r="P43" i="4"/>
  <c r="Q43" i="4"/>
  <c r="P41" i="4"/>
  <c r="P40" i="4"/>
  <c r="P39" i="4"/>
  <c r="P38" i="4"/>
  <c r="P37" i="4"/>
  <c r="Q37" i="4"/>
  <c r="P35" i="4"/>
  <c r="P34" i="4"/>
  <c r="P33" i="4"/>
  <c r="P32" i="4"/>
  <c r="P31" i="4"/>
  <c r="Q31" i="4"/>
  <c r="P29" i="4"/>
  <c r="P28" i="4"/>
  <c r="P27" i="4"/>
  <c r="P26" i="4"/>
  <c r="D11" i="4"/>
  <c r="A5" i="4"/>
  <c r="Q4" i="5"/>
  <c r="AB308" i="5"/>
  <c r="AB256" i="5"/>
  <c r="AB36" i="5"/>
  <c r="AB72" i="5"/>
  <c r="AB74" i="5"/>
  <c r="AB245" i="5"/>
  <c r="S271" i="5"/>
  <c r="AB323" i="5"/>
  <c r="H342" i="5"/>
  <c r="AB162" i="5"/>
  <c r="S173" i="5"/>
  <c r="AB261" i="5"/>
  <c r="AB43" i="5"/>
  <c r="S251" i="5"/>
  <c r="AB160" i="5"/>
  <c r="AB248" i="5"/>
  <c r="AB306" i="5"/>
  <c r="F20" i="6"/>
  <c r="F21" i="6"/>
  <c r="AB52" i="5"/>
  <c r="H317" i="5"/>
  <c r="X13" i="5"/>
  <c r="F276" i="5"/>
  <c r="AB116" i="5"/>
  <c r="X185" i="5"/>
  <c r="AB57" i="5"/>
  <c r="AB238" i="5"/>
  <c r="AB42" i="5"/>
  <c r="AB278" i="5"/>
  <c r="X293" i="5"/>
  <c r="R301" i="5"/>
  <c r="I301" i="5"/>
  <c r="AB6" i="5"/>
  <c r="S283" i="5"/>
  <c r="S112" i="5"/>
  <c r="X232" i="5"/>
  <c r="S326" i="5"/>
  <c r="X12" i="5"/>
  <c r="J132" i="5"/>
  <c r="S277" i="5"/>
  <c r="I92" i="5"/>
  <c r="H92" i="5"/>
  <c r="F92" i="5"/>
  <c r="R25" i="5"/>
  <c r="R327" i="5"/>
  <c r="H327" i="5"/>
  <c r="AB135" i="5"/>
  <c r="S141" i="5"/>
  <c r="AB206" i="5"/>
  <c r="AB277" i="5"/>
  <c r="S132" i="5"/>
  <c r="H223" i="5"/>
  <c r="H233" i="5"/>
  <c r="AB249" i="5"/>
  <c r="AB168" i="5"/>
  <c r="S97" i="5"/>
  <c r="AB123" i="5"/>
  <c r="S168" i="5"/>
  <c r="H293" i="5"/>
  <c r="R324" i="5"/>
  <c r="S133" i="5"/>
  <c r="S278" i="5"/>
  <c r="I293" i="5"/>
  <c r="R293" i="5"/>
  <c r="S303" i="5"/>
  <c r="I309" i="5"/>
  <c r="H157" i="5"/>
  <c r="AB192" i="5"/>
  <c r="H215" i="5"/>
  <c r="S306" i="5"/>
  <c r="AB20" i="5"/>
  <c r="AB12" i="5"/>
  <c r="AB24" i="5"/>
  <c r="R5" i="5"/>
  <c r="R9" i="5"/>
  <c r="R13" i="5"/>
  <c r="AB8" i="5"/>
  <c r="R21" i="5"/>
  <c r="AB18" i="5"/>
  <c r="X16" i="5"/>
  <c r="AB49" i="5"/>
  <c r="AB75" i="5"/>
  <c r="AB15" i="5"/>
  <c r="AB29" i="5"/>
  <c r="AB69" i="5"/>
  <c r="AB77" i="5"/>
  <c r="S153" i="5"/>
  <c r="AB224" i="5"/>
  <c r="H224" i="5"/>
  <c r="AB79" i="5"/>
  <c r="S79" i="5"/>
  <c r="F100" i="5"/>
  <c r="X193" i="5"/>
  <c r="J193" i="5"/>
  <c r="F193" i="5"/>
  <c r="S95" i="5"/>
  <c r="AB95" i="5"/>
  <c r="S185" i="5"/>
  <c r="S222" i="5"/>
  <c r="AB222" i="5"/>
  <c r="AB244" i="5"/>
  <c r="S195" i="5"/>
  <c r="R296" i="5"/>
  <c r="X296" i="5"/>
  <c r="J296" i="5"/>
  <c r="S148" i="5"/>
  <c r="R312" i="5"/>
  <c r="F312" i="5"/>
  <c r="F167" i="5"/>
  <c r="R167" i="5"/>
  <c r="X167" i="5"/>
  <c r="R183" i="5"/>
  <c r="F183" i="5"/>
  <c r="R216" i="5"/>
  <c r="J216" i="5"/>
  <c r="I216" i="5"/>
  <c r="X216" i="5"/>
  <c r="I88" i="5"/>
  <c r="R88" i="5"/>
  <c r="J88" i="5"/>
  <c r="H88" i="5"/>
  <c r="F88" i="5"/>
  <c r="X88" i="5"/>
  <c r="I116" i="5"/>
  <c r="H116" i="5"/>
  <c r="F199" i="5"/>
  <c r="R199" i="5"/>
  <c r="X199" i="5"/>
  <c r="S214" i="5"/>
  <c r="AB214" i="5"/>
  <c r="AB293" i="5"/>
  <c r="AB153" i="5"/>
  <c r="S169" i="5"/>
  <c r="S172" i="5"/>
  <c r="AB176" i="5"/>
  <c r="J232" i="5"/>
  <c r="AB236" i="5"/>
  <c r="H256" i="5"/>
  <c r="AB264" i="5"/>
  <c r="R276" i="5"/>
  <c r="S294" i="5"/>
  <c r="AB299" i="5"/>
  <c r="H315" i="5"/>
  <c r="I317" i="5"/>
  <c r="J317" i="5"/>
  <c r="R82" i="5"/>
  <c r="F120" i="5"/>
  <c r="S135" i="5"/>
  <c r="AB140" i="5"/>
  <c r="S161" i="5"/>
  <c r="AB164" i="5"/>
  <c r="AB172" i="5"/>
  <c r="I181" i="5"/>
  <c r="I185" i="5"/>
  <c r="AB198" i="5"/>
  <c r="AB231" i="5"/>
  <c r="AB232" i="5"/>
  <c r="AB252" i="5"/>
  <c r="AB260" i="5"/>
  <c r="AB265" i="5"/>
  <c r="X279" i="5"/>
  <c r="AB282" i="5"/>
  <c r="S93" i="5"/>
  <c r="I125" i="5"/>
  <c r="S151" i="5"/>
  <c r="S164" i="5"/>
  <c r="S177" i="5"/>
  <c r="S235" i="5"/>
  <c r="S250" i="5"/>
  <c r="S255" i="5"/>
  <c r="S275" i="5"/>
  <c r="J300" i="5"/>
  <c r="S307" i="5"/>
  <c r="J104" i="5"/>
  <c r="J125" i="5"/>
  <c r="AB132" i="5"/>
  <c r="AB133" i="5"/>
  <c r="F180" i="5"/>
  <c r="AB272" i="5"/>
  <c r="S305" i="5"/>
  <c r="H309" i="5"/>
  <c r="I338" i="5"/>
  <c r="AB99" i="5"/>
  <c r="AB125" i="5"/>
  <c r="J92" i="5"/>
  <c r="AB126" i="5"/>
  <c r="AB141" i="5"/>
  <c r="S176" i="5"/>
  <c r="AB180" i="5"/>
  <c r="AB184" i="5"/>
  <c r="H207" i="5"/>
  <c r="H225" i="5"/>
  <c r="I233" i="5"/>
  <c r="I248" i="5"/>
  <c r="AB283" i="5"/>
  <c r="S309" i="5"/>
  <c r="AB319" i="5"/>
  <c r="R11" i="5"/>
  <c r="X11" i="5"/>
  <c r="X17" i="5"/>
  <c r="R17" i="5"/>
  <c r="R14" i="5"/>
  <c r="R19" i="5"/>
  <c r="AB23" i="5"/>
  <c r="R60" i="5"/>
  <c r="X60" i="5"/>
  <c r="R68" i="5"/>
  <c r="AB34" i="5"/>
  <c r="R43" i="5"/>
  <c r="AB38" i="5"/>
  <c r="R49" i="5"/>
  <c r="R57" i="5"/>
  <c r="X68" i="5"/>
  <c r="X46" i="5"/>
  <c r="X58" i="5"/>
  <c r="X63" i="5"/>
  <c r="X8" i="5"/>
  <c r="X9" i="5"/>
  <c r="R28" i="5"/>
  <c r="X28" i="5"/>
  <c r="X65" i="5"/>
  <c r="X71" i="5"/>
  <c r="R73" i="5"/>
  <c r="X73" i="5"/>
  <c r="AB33" i="5"/>
  <c r="R45" i="5"/>
  <c r="AB46" i="5"/>
  <c r="AB58" i="5"/>
  <c r="R70" i="5"/>
  <c r="R76" i="5"/>
  <c r="X21" i="5"/>
  <c r="R52" i="5"/>
  <c r="X70" i="5"/>
  <c r="AB39" i="5"/>
  <c r="R46" i="5"/>
  <c r="R58" i="5"/>
  <c r="X67" i="5"/>
  <c r="R67" i="5"/>
  <c r="AB37" i="5"/>
  <c r="R56" i="5"/>
  <c r="AB71" i="5"/>
  <c r="AB73" i="5"/>
  <c r="AB56" i="5"/>
  <c r="AB22" i="5"/>
  <c r="AB68" i="5"/>
  <c r="AB70" i="5"/>
  <c r="AB64" i="5"/>
  <c r="AB66" i="5"/>
  <c r="AB67" i="5"/>
  <c r="AB76" i="5"/>
  <c r="S85" i="5"/>
  <c r="R151" i="5"/>
  <c r="J151" i="5"/>
  <c r="S87" i="5"/>
  <c r="AB87" i="5"/>
  <c r="H107" i="5"/>
  <c r="F107" i="5"/>
  <c r="X107" i="5"/>
  <c r="S81" i="5"/>
  <c r="J145" i="5"/>
  <c r="I145" i="5"/>
  <c r="F145" i="5"/>
  <c r="H99" i="5"/>
  <c r="X99" i="5"/>
  <c r="I84" i="5"/>
  <c r="R84" i="5"/>
  <c r="J84" i="5"/>
  <c r="H84" i="5"/>
  <c r="F84" i="5"/>
  <c r="S124" i="5"/>
  <c r="H196" i="5"/>
  <c r="X196" i="5"/>
  <c r="R196" i="5"/>
  <c r="J196" i="5"/>
  <c r="I196" i="5"/>
  <c r="AB291" i="5"/>
  <c r="S291" i="5"/>
  <c r="J295" i="5"/>
  <c r="F295" i="5"/>
  <c r="X295" i="5"/>
  <c r="R295" i="5"/>
  <c r="I295" i="5"/>
  <c r="H295" i="5"/>
  <c r="H79" i="5"/>
  <c r="F79" i="5"/>
  <c r="X84" i="5"/>
  <c r="J137" i="5"/>
  <c r="I137" i="5"/>
  <c r="H137" i="5"/>
  <c r="F137" i="5"/>
  <c r="S189" i="5"/>
  <c r="AB189" i="5"/>
  <c r="H103" i="5"/>
  <c r="F103" i="5"/>
  <c r="X103" i="5"/>
  <c r="AB115" i="5"/>
  <c r="S115" i="5"/>
  <c r="AB122" i="5"/>
  <c r="S122" i="5"/>
  <c r="X148" i="5"/>
  <c r="J148" i="5"/>
  <c r="H148" i="5"/>
  <c r="F148" i="5"/>
  <c r="AB80" i="5"/>
  <c r="AB84" i="5"/>
  <c r="H100" i="5"/>
  <c r="H104" i="5"/>
  <c r="AB130" i="5"/>
  <c r="J140" i="5"/>
  <c r="F140" i="5"/>
  <c r="AB144" i="5"/>
  <c r="I144" i="5"/>
  <c r="AB148" i="5"/>
  <c r="AB152" i="5"/>
  <c r="AB157" i="5"/>
  <c r="R236" i="5"/>
  <c r="H236" i="5"/>
  <c r="F236" i="5"/>
  <c r="J236" i="5"/>
  <c r="I236" i="5"/>
  <c r="AB320" i="5"/>
  <c r="S334" i="5"/>
  <c r="AB103" i="5"/>
  <c r="R104" i="5"/>
  <c r="AB107" i="5"/>
  <c r="R116" i="5"/>
  <c r="AB137" i="5"/>
  <c r="S150" i="5"/>
  <c r="AB181" i="5"/>
  <c r="R320" i="5"/>
  <c r="F320" i="5"/>
  <c r="X320" i="5"/>
  <c r="J320" i="5"/>
  <c r="I320" i="5"/>
  <c r="H320" i="5"/>
  <c r="H331" i="5"/>
  <c r="F331" i="5"/>
  <c r="X331" i="5"/>
  <c r="J152" i="5"/>
  <c r="R194" i="5"/>
  <c r="J194" i="5"/>
  <c r="I194" i="5"/>
  <c r="F194" i="5"/>
  <c r="X194" i="5"/>
  <c r="H198" i="5"/>
  <c r="F198" i="5"/>
  <c r="R198" i="5"/>
  <c r="J198" i="5"/>
  <c r="I198" i="5"/>
  <c r="H268" i="5"/>
  <c r="AB281" i="5"/>
  <c r="S281" i="5"/>
  <c r="H286" i="5"/>
  <c r="I286" i="5"/>
  <c r="F286" i="5"/>
  <c r="R286" i="5"/>
  <c r="J286" i="5"/>
  <c r="I335" i="5"/>
  <c r="F335" i="5"/>
  <c r="X335" i="5"/>
  <c r="AB91" i="5"/>
  <c r="AB100" i="5"/>
  <c r="AB104" i="5"/>
  <c r="AB108" i="5"/>
  <c r="AB118" i="5"/>
  <c r="AB145" i="5"/>
  <c r="H146" i="5"/>
  <c r="AB150" i="5"/>
  <c r="X152" i="5"/>
  <c r="X189" i="5"/>
  <c r="J189" i="5"/>
  <c r="I189" i="5"/>
  <c r="F189" i="5"/>
  <c r="H194" i="5"/>
  <c r="X286" i="5"/>
  <c r="H335" i="5"/>
  <c r="AB96" i="5"/>
  <c r="X104" i="5"/>
  <c r="S113" i="5"/>
  <c r="AB120" i="5"/>
  <c r="AB136" i="5"/>
  <c r="J136" i="5"/>
  <c r="S139" i="5"/>
  <c r="I146" i="5"/>
  <c r="F152" i="5"/>
  <c r="F153" i="5"/>
  <c r="S158" i="5"/>
  <c r="S165" i="5"/>
  <c r="F172" i="5"/>
  <c r="H172" i="5"/>
  <c r="AB188" i="5"/>
  <c r="J202" i="5"/>
  <c r="R202" i="5"/>
  <c r="H202" i="5"/>
  <c r="X202" i="5"/>
  <c r="R228" i="5"/>
  <c r="J228" i="5"/>
  <c r="I228" i="5"/>
  <c r="H228" i="5"/>
  <c r="F228" i="5"/>
  <c r="X228" i="5"/>
  <c r="H272" i="5"/>
  <c r="H284" i="5"/>
  <c r="F284" i="5"/>
  <c r="R284" i="5"/>
  <c r="J284" i="5"/>
  <c r="I284" i="5"/>
  <c r="X294" i="5"/>
  <c r="F294" i="5"/>
  <c r="R304" i="5"/>
  <c r="I304" i="5"/>
  <c r="F304" i="5"/>
  <c r="X304" i="5"/>
  <c r="AB83" i="5"/>
  <c r="AB92" i="5"/>
  <c r="F104" i="5"/>
  <c r="AB117" i="5"/>
  <c r="S123" i="5"/>
  <c r="S126" i="5"/>
  <c r="AB131" i="5"/>
  <c r="S137" i="5"/>
  <c r="S143" i="5"/>
  <c r="AB149" i="5"/>
  <c r="S152" i="5"/>
  <c r="S156" i="5"/>
  <c r="F160" i="5"/>
  <c r="AB165" i="5"/>
  <c r="AB169" i="5"/>
  <c r="S181" i="5"/>
  <c r="I202" i="5"/>
  <c r="J210" i="5"/>
  <c r="R210" i="5"/>
  <c r="I210" i="5"/>
  <c r="X210" i="5"/>
  <c r="J218" i="5"/>
  <c r="R218" i="5"/>
  <c r="H218" i="5"/>
  <c r="X218" i="5"/>
  <c r="AB253" i="5"/>
  <c r="F272" i="5"/>
  <c r="X284" i="5"/>
  <c r="H304" i="5"/>
  <c r="AB88" i="5"/>
  <c r="X92" i="5"/>
  <c r="AB111" i="5"/>
  <c r="X116" i="5"/>
  <c r="F125" i="5"/>
  <c r="AB156" i="5"/>
  <c r="AB159" i="5"/>
  <c r="X176" i="5"/>
  <c r="H176" i="5"/>
  <c r="S188" i="5"/>
  <c r="H210" i="5"/>
  <c r="I218" i="5"/>
  <c r="S224" i="5"/>
  <c r="S267" i="5"/>
  <c r="AB285" i="5"/>
  <c r="S285" i="5"/>
  <c r="AB295" i="5"/>
  <c r="AB304" i="5"/>
  <c r="AB335" i="5"/>
  <c r="R337" i="5"/>
  <c r="I207" i="5"/>
  <c r="I208" i="5"/>
  <c r="I215" i="5"/>
  <c r="I223" i="5"/>
  <c r="I225" i="5"/>
  <c r="H324" i="5"/>
  <c r="AB327" i="5"/>
  <c r="AB332" i="5"/>
  <c r="AB139" i="5"/>
  <c r="R173" i="5"/>
  <c r="R177" i="5"/>
  <c r="AB185" i="5"/>
  <c r="X188" i="5"/>
  <c r="S192" i="5"/>
  <c r="H193" i="5"/>
  <c r="AB203" i="5"/>
  <c r="J207" i="5"/>
  <c r="J208" i="5"/>
  <c r="AB211" i="5"/>
  <c r="J215" i="5"/>
  <c r="AB219" i="5"/>
  <c r="J223" i="5"/>
  <c r="J225" i="5"/>
  <c r="AB228" i="5"/>
  <c r="J233" i="5"/>
  <c r="AB240" i="5"/>
  <c r="S243" i="5"/>
  <c r="R252" i="5"/>
  <c r="AB269" i="5"/>
  <c r="AB288" i="5"/>
  <c r="J293" i="5"/>
  <c r="AB297" i="5"/>
  <c r="J309" i="5"/>
  <c r="AB312" i="5"/>
  <c r="I324" i="5"/>
  <c r="AB326" i="5"/>
  <c r="F327" i="5"/>
  <c r="AB173" i="5"/>
  <c r="AB177" i="5"/>
  <c r="F181" i="5"/>
  <c r="AB182" i="5"/>
  <c r="F185" i="5"/>
  <c r="F188" i="5"/>
  <c r="I193" i="5"/>
  <c r="AB200" i="5"/>
  <c r="R207" i="5"/>
  <c r="R215" i="5"/>
  <c r="R223" i="5"/>
  <c r="S238" i="5"/>
  <c r="AB273" i="5"/>
  <c r="S282" i="5"/>
  <c r="AB289" i="5"/>
  <c r="H301" i="5"/>
  <c r="X312" i="5"/>
  <c r="AB143" i="5"/>
  <c r="AB151" i="5"/>
  <c r="AB161" i="5"/>
  <c r="H181" i="5"/>
  <c r="S182" i="5"/>
  <c r="H185" i="5"/>
  <c r="S193" i="5"/>
  <c r="AB241" i="5"/>
  <c r="AB246" i="5"/>
  <c r="S289" i="5"/>
  <c r="AB294" i="5"/>
  <c r="J301" i="5"/>
  <c r="AB305" i="5"/>
  <c r="AB307" i="5"/>
  <c r="AB314" i="5"/>
  <c r="AB316" i="5"/>
  <c r="S317" i="5"/>
  <c r="I327" i="5"/>
  <c r="H346" i="5"/>
  <c r="AB229" i="5"/>
  <c r="I276" i="5"/>
  <c r="H312" i="5"/>
  <c r="S315" i="5"/>
  <c r="J327" i="5"/>
  <c r="AB331" i="5"/>
  <c r="J181" i="5"/>
  <c r="J185" i="5"/>
  <c r="AB193" i="5"/>
  <c r="AB197" i="5"/>
  <c r="X207" i="5"/>
  <c r="X208" i="5"/>
  <c r="X215" i="5"/>
  <c r="X223" i="5"/>
  <c r="AB230" i="5"/>
  <c r="AB239" i="5"/>
  <c r="S246" i="5"/>
  <c r="AB257" i="5"/>
  <c r="AB268" i="5"/>
  <c r="J276" i="5"/>
  <c r="AB279" i="5"/>
  <c r="S299" i="5"/>
  <c r="AB300" i="5"/>
  <c r="S301" i="5"/>
  <c r="I312" i="5"/>
  <c r="S314" i="5"/>
  <c r="AB315" i="5"/>
  <c r="AB347" i="5"/>
  <c r="F19" i="6"/>
  <c r="X43" i="5"/>
  <c r="X23" i="5"/>
  <c r="R23" i="5"/>
  <c r="AB11" i="5"/>
  <c r="R6" i="5"/>
  <c r="AB7" i="5"/>
  <c r="AB10" i="5"/>
  <c r="R12" i="5"/>
  <c r="AB13" i="5"/>
  <c r="R20" i="5"/>
  <c r="AB14" i="5"/>
  <c r="AB30" i="5"/>
  <c r="X48" i="5"/>
  <c r="R48" i="5"/>
  <c r="R29" i="5"/>
  <c r="R34" i="5"/>
  <c r="X34" i="5"/>
  <c r="AB63" i="5"/>
  <c r="X14" i="5"/>
  <c r="R15" i="5"/>
  <c r="AB16" i="5"/>
  <c r="AB19" i="5"/>
  <c r="AB26" i="5"/>
  <c r="R39" i="5"/>
  <c r="AB5" i="5"/>
  <c r="R7" i="5"/>
  <c r="AB17" i="5"/>
  <c r="R18" i="5"/>
  <c r="R22" i="5"/>
  <c r="R37" i="5"/>
  <c r="R8" i="5"/>
  <c r="AB9" i="5"/>
  <c r="X19" i="5"/>
  <c r="AB27" i="5"/>
  <c r="AB31" i="5"/>
  <c r="AB47" i="5"/>
  <c r="AB21" i="5"/>
  <c r="AB25" i="5"/>
  <c r="AB28" i="5"/>
  <c r="AB32" i="5"/>
  <c r="AB35" i="5"/>
  <c r="AB51" i="5"/>
  <c r="AB54" i="5"/>
  <c r="AB60" i="5"/>
  <c r="AB44" i="5"/>
  <c r="AB59" i="5"/>
  <c r="AB45" i="5"/>
  <c r="X56" i="5"/>
  <c r="X57" i="5"/>
  <c r="R40" i="5"/>
  <c r="AB40" i="5"/>
  <c r="AB65" i="5"/>
  <c r="R35" i="5"/>
  <c r="AB41" i="5"/>
  <c r="AB50" i="5"/>
  <c r="AB53" i="5"/>
  <c r="AB55" i="5"/>
  <c r="AB61" i="5"/>
  <c r="AB48" i="5"/>
  <c r="X52" i="5"/>
  <c r="AB62" i="5"/>
  <c r="R75" i="5"/>
  <c r="AB313" i="5"/>
  <c r="S313" i="5"/>
  <c r="J90" i="5"/>
  <c r="I90" i="5"/>
  <c r="H90" i="5"/>
  <c r="X90" i="5"/>
  <c r="R90" i="5"/>
  <c r="F90" i="5"/>
  <c r="J94" i="5"/>
  <c r="I94" i="5"/>
  <c r="H94" i="5"/>
  <c r="X94" i="5"/>
  <c r="R94" i="5"/>
  <c r="F94" i="5"/>
  <c r="S138" i="5"/>
  <c r="AB138" i="5"/>
  <c r="AB167" i="5"/>
  <c r="S167" i="5"/>
  <c r="S134" i="5"/>
  <c r="AB134" i="5"/>
  <c r="AB129" i="5"/>
  <c r="S129" i="5"/>
  <c r="R111" i="5"/>
  <c r="J111" i="5"/>
  <c r="H111" i="5"/>
  <c r="F111" i="5"/>
  <c r="X111" i="5"/>
  <c r="I111" i="5"/>
  <c r="AB81" i="5"/>
  <c r="R87" i="5"/>
  <c r="J87" i="5"/>
  <c r="I87" i="5"/>
  <c r="H87" i="5"/>
  <c r="F87" i="5"/>
  <c r="X87" i="5"/>
  <c r="J110" i="5"/>
  <c r="I110" i="5"/>
  <c r="H110" i="5"/>
  <c r="X110" i="5"/>
  <c r="X114" i="5"/>
  <c r="F114" i="5"/>
  <c r="J114" i="5"/>
  <c r="R114" i="5"/>
  <c r="I114" i="5"/>
  <c r="H114" i="5"/>
  <c r="I159" i="5"/>
  <c r="H159" i="5"/>
  <c r="R159" i="5"/>
  <c r="X159" i="5"/>
  <c r="J159" i="5"/>
  <c r="F159" i="5"/>
  <c r="J214" i="5"/>
  <c r="R214" i="5"/>
  <c r="I214" i="5"/>
  <c r="H214" i="5"/>
  <c r="F214" i="5"/>
  <c r="X214" i="5"/>
  <c r="R117" i="5"/>
  <c r="I117" i="5"/>
  <c r="H117" i="5"/>
  <c r="F117" i="5"/>
  <c r="J117" i="5"/>
  <c r="X117" i="5"/>
  <c r="S142" i="5"/>
  <c r="AB142" i="5"/>
  <c r="R91" i="5"/>
  <c r="J91" i="5"/>
  <c r="I91" i="5"/>
  <c r="H91" i="5"/>
  <c r="F91" i="5"/>
  <c r="X91" i="5"/>
  <c r="R110" i="5"/>
  <c r="X154" i="5"/>
  <c r="R154" i="5"/>
  <c r="J154" i="5"/>
  <c r="I154" i="5"/>
  <c r="H154" i="5"/>
  <c r="F154" i="5"/>
  <c r="J201" i="5"/>
  <c r="H201" i="5"/>
  <c r="R201" i="5"/>
  <c r="I201" i="5"/>
  <c r="X201" i="5"/>
  <c r="F201" i="5"/>
  <c r="AB85" i="5"/>
  <c r="AB124" i="5"/>
  <c r="S155" i="5"/>
  <c r="AB155" i="5"/>
  <c r="J86" i="5"/>
  <c r="I86" i="5"/>
  <c r="H86" i="5"/>
  <c r="X86" i="5"/>
  <c r="F86" i="5"/>
  <c r="AB98" i="5"/>
  <c r="S98" i="5"/>
  <c r="AB102" i="5"/>
  <c r="S102" i="5"/>
  <c r="AB109" i="5"/>
  <c r="AB113" i="5"/>
  <c r="AB147" i="5"/>
  <c r="J82" i="5"/>
  <c r="I82" i="5"/>
  <c r="H82" i="5"/>
  <c r="X82" i="5"/>
  <c r="R83" i="5"/>
  <c r="J83" i="5"/>
  <c r="I83" i="5"/>
  <c r="F83" i="5"/>
  <c r="X83" i="5"/>
  <c r="AB119" i="5"/>
  <c r="S119" i="5"/>
  <c r="R128" i="5"/>
  <c r="J128" i="5"/>
  <c r="I128" i="5"/>
  <c r="H128" i="5"/>
  <c r="X128" i="5"/>
  <c r="F128" i="5"/>
  <c r="AB94" i="5"/>
  <c r="X95" i="5"/>
  <c r="F99" i="5"/>
  <c r="AB105" i="5"/>
  <c r="AB146" i="5"/>
  <c r="S146" i="5"/>
  <c r="J197" i="5"/>
  <c r="R197" i="5"/>
  <c r="I197" i="5"/>
  <c r="H197" i="5"/>
  <c r="F197" i="5"/>
  <c r="X197" i="5"/>
  <c r="R79" i="5"/>
  <c r="J79" i="5"/>
  <c r="I79" i="5"/>
  <c r="AB90" i="5"/>
  <c r="F95" i="5"/>
  <c r="F98" i="5"/>
  <c r="AB101" i="5"/>
  <c r="R107" i="5"/>
  <c r="J107" i="5"/>
  <c r="I107" i="5"/>
  <c r="X123" i="5"/>
  <c r="I129" i="5"/>
  <c r="X134" i="5"/>
  <c r="F134" i="5"/>
  <c r="R134" i="5"/>
  <c r="J134" i="5"/>
  <c r="I134" i="5"/>
  <c r="X150" i="5"/>
  <c r="J150" i="5"/>
  <c r="F150" i="5"/>
  <c r="I150" i="5"/>
  <c r="H150" i="5"/>
  <c r="I155" i="5"/>
  <c r="H155" i="5"/>
  <c r="R155" i="5"/>
  <c r="J155" i="5"/>
  <c r="F155" i="5"/>
  <c r="X155" i="5"/>
  <c r="X165" i="5"/>
  <c r="R165" i="5"/>
  <c r="F165" i="5"/>
  <c r="J165" i="5"/>
  <c r="I165" i="5"/>
  <c r="H165" i="5"/>
  <c r="R192" i="5"/>
  <c r="J192" i="5"/>
  <c r="I192" i="5"/>
  <c r="H192" i="5"/>
  <c r="F192" i="5"/>
  <c r="X192" i="5"/>
  <c r="AB86" i="5"/>
  <c r="AB97" i="5"/>
  <c r="R103" i="5"/>
  <c r="J103" i="5"/>
  <c r="I103" i="5"/>
  <c r="AB112" i="5"/>
  <c r="AB128" i="5"/>
  <c r="X138" i="5"/>
  <c r="R138" i="5"/>
  <c r="J138" i="5"/>
  <c r="I138" i="5"/>
  <c r="H138" i="5"/>
  <c r="X142" i="5"/>
  <c r="F142" i="5"/>
  <c r="R142" i="5"/>
  <c r="J142" i="5"/>
  <c r="I142" i="5"/>
  <c r="R150" i="5"/>
  <c r="X79" i="5"/>
  <c r="AB82" i="5"/>
  <c r="AB93" i="5"/>
  <c r="R99" i="5"/>
  <c r="J99" i="5"/>
  <c r="I99" i="5"/>
  <c r="X129" i="5"/>
  <c r="R129" i="5"/>
  <c r="H129" i="5"/>
  <c r="F129" i="5"/>
  <c r="J160" i="5"/>
  <c r="AB187" i="5"/>
  <c r="S187" i="5"/>
  <c r="F211" i="5"/>
  <c r="R211" i="5"/>
  <c r="J211" i="5"/>
  <c r="I211" i="5"/>
  <c r="H211" i="5"/>
  <c r="X211" i="5"/>
  <c r="AB227" i="5"/>
  <c r="S227" i="5"/>
  <c r="AB78" i="5"/>
  <c r="AB89" i="5"/>
  <c r="R95" i="5"/>
  <c r="J95" i="5"/>
  <c r="I95" i="5"/>
  <c r="J98" i="5"/>
  <c r="I98" i="5"/>
  <c r="H98" i="5"/>
  <c r="X98" i="5"/>
  <c r="AB110" i="5"/>
  <c r="I123" i="5"/>
  <c r="F123" i="5"/>
  <c r="R123" i="5"/>
  <c r="J123" i="5"/>
  <c r="AB154" i="5"/>
  <c r="S154" i="5"/>
  <c r="R184" i="5"/>
  <c r="J184" i="5"/>
  <c r="I184" i="5"/>
  <c r="F184" i="5"/>
  <c r="H184" i="5"/>
  <c r="X184" i="5"/>
  <c r="J191" i="5"/>
  <c r="I191" i="5"/>
  <c r="H191" i="5"/>
  <c r="X191" i="5"/>
  <c r="R191" i="5"/>
  <c r="F191" i="5"/>
  <c r="AB106" i="5"/>
  <c r="R120" i="5"/>
  <c r="X120" i="5"/>
  <c r="J120" i="5"/>
  <c r="H120" i="5"/>
  <c r="I131" i="5"/>
  <c r="R131" i="5"/>
  <c r="J131" i="5"/>
  <c r="H131" i="5"/>
  <c r="X131" i="5"/>
  <c r="S147" i="5"/>
  <c r="I163" i="5"/>
  <c r="H163" i="5"/>
  <c r="F163" i="5"/>
  <c r="R163" i="5"/>
  <c r="J163" i="5"/>
  <c r="X163" i="5"/>
  <c r="I80" i="5"/>
  <c r="J116" i="5"/>
  <c r="AB121" i="5"/>
  <c r="H125" i="5"/>
  <c r="F146" i="5"/>
  <c r="R148" i="5"/>
  <c r="I148" i="5"/>
  <c r="AB158" i="5"/>
  <c r="AB163" i="5"/>
  <c r="S163" i="5"/>
  <c r="AB171" i="5"/>
  <c r="AB175" i="5"/>
  <c r="J183" i="5"/>
  <c r="I183" i="5"/>
  <c r="H183" i="5"/>
  <c r="X183" i="5"/>
  <c r="I151" i="5"/>
  <c r="F151" i="5"/>
  <c r="R156" i="5"/>
  <c r="I156" i="5"/>
  <c r="AB166" i="5"/>
  <c r="AB209" i="5"/>
  <c r="S209" i="5"/>
  <c r="S114" i="5"/>
  <c r="S116" i="5"/>
  <c r="S127" i="5"/>
  <c r="X149" i="5"/>
  <c r="R149" i="5"/>
  <c r="I149" i="5"/>
  <c r="X156" i="5"/>
  <c r="S162" i="5"/>
  <c r="AB191" i="5"/>
  <c r="F203" i="5"/>
  <c r="R203" i="5"/>
  <c r="J203" i="5"/>
  <c r="I203" i="5"/>
  <c r="H203" i="5"/>
  <c r="X203" i="5"/>
  <c r="J217" i="5"/>
  <c r="H217" i="5"/>
  <c r="R217" i="5"/>
  <c r="I217" i="5"/>
  <c r="X217" i="5"/>
  <c r="F217" i="5"/>
  <c r="AB254" i="5"/>
  <c r="S254" i="5"/>
  <c r="AB267" i="5"/>
  <c r="S80" i="5"/>
  <c r="S84" i="5"/>
  <c r="S88" i="5"/>
  <c r="S92" i="5"/>
  <c r="S96" i="5"/>
  <c r="S100" i="5"/>
  <c r="S104" i="5"/>
  <c r="S108" i="5"/>
  <c r="R125" i="5"/>
  <c r="S130" i="5"/>
  <c r="X132" i="5"/>
  <c r="R140" i="5"/>
  <c r="I140" i="5"/>
  <c r="F149" i="5"/>
  <c r="R152" i="5"/>
  <c r="I152" i="5"/>
  <c r="H152" i="5"/>
  <c r="F156" i="5"/>
  <c r="X157" i="5"/>
  <c r="R157" i="5"/>
  <c r="I157" i="5"/>
  <c r="AB174" i="5"/>
  <c r="R180" i="5"/>
  <c r="J180" i="5"/>
  <c r="I180" i="5"/>
  <c r="X180" i="5"/>
  <c r="S231" i="5"/>
  <c r="S111" i="5"/>
  <c r="S118" i="5"/>
  <c r="S125" i="5"/>
  <c r="X140" i="5"/>
  <c r="X145" i="5"/>
  <c r="R145" i="5"/>
  <c r="H145" i="5"/>
  <c r="X151" i="5"/>
  <c r="H156" i="5"/>
  <c r="F157" i="5"/>
  <c r="AB183" i="5"/>
  <c r="S183" i="5"/>
  <c r="AB186" i="5"/>
  <c r="AB226" i="5"/>
  <c r="S226" i="5"/>
  <c r="AB114" i="5"/>
  <c r="F116" i="5"/>
  <c r="AB127" i="5"/>
  <c r="X137" i="5"/>
  <c r="R137" i="5"/>
  <c r="X146" i="5"/>
  <c r="R146" i="5"/>
  <c r="H149" i="5"/>
  <c r="H151" i="5"/>
  <c r="H153" i="5"/>
  <c r="J156" i="5"/>
  <c r="S159" i="5"/>
  <c r="R164" i="5"/>
  <c r="J164" i="5"/>
  <c r="I164" i="5"/>
  <c r="H164" i="5"/>
  <c r="X164" i="5"/>
  <c r="I167" i="5"/>
  <c r="H167" i="5"/>
  <c r="J167" i="5"/>
  <c r="R168" i="5"/>
  <c r="J168" i="5"/>
  <c r="I168" i="5"/>
  <c r="R172" i="5"/>
  <c r="J172" i="5"/>
  <c r="I172" i="5"/>
  <c r="X172" i="5"/>
  <c r="R176" i="5"/>
  <c r="J176" i="5"/>
  <c r="I176" i="5"/>
  <c r="F176" i="5"/>
  <c r="S191" i="5"/>
  <c r="F219" i="5"/>
  <c r="R219" i="5"/>
  <c r="J219" i="5"/>
  <c r="I219" i="5"/>
  <c r="H219" i="5"/>
  <c r="X219" i="5"/>
  <c r="AB179" i="5"/>
  <c r="AB190" i="5"/>
  <c r="AB196" i="5"/>
  <c r="S202" i="5"/>
  <c r="AB202" i="5"/>
  <c r="S207" i="5"/>
  <c r="AB207" i="5"/>
  <c r="S218" i="5"/>
  <c r="AB218" i="5"/>
  <c r="AB225" i="5"/>
  <c r="S225" i="5"/>
  <c r="F280" i="5"/>
  <c r="J280" i="5"/>
  <c r="I280" i="5"/>
  <c r="H280" i="5"/>
  <c r="X280" i="5"/>
  <c r="R280" i="5"/>
  <c r="AB170" i="5"/>
  <c r="AB178" i="5"/>
  <c r="R188" i="5"/>
  <c r="J188" i="5"/>
  <c r="I188" i="5"/>
  <c r="AB195" i="5"/>
  <c r="AB201" i="5"/>
  <c r="S201" i="5"/>
  <c r="J209" i="5"/>
  <c r="H209" i="5"/>
  <c r="R209" i="5"/>
  <c r="I209" i="5"/>
  <c r="X209" i="5"/>
  <c r="AB217" i="5"/>
  <c r="S217" i="5"/>
  <c r="X222" i="5"/>
  <c r="AB237" i="5"/>
  <c r="S237" i="5"/>
  <c r="R243" i="5"/>
  <c r="J243" i="5"/>
  <c r="I243" i="5"/>
  <c r="H243" i="5"/>
  <c r="F243" i="5"/>
  <c r="X243" i="5"/>
  <c r="AB271" i="5"/>
  <c r="S210" i="5"/>
  <c r="AB210" i="5"/>
  <c r="S215" i="5"/>
  <c r="AB215" i="5"/>
  <c r="AB199" i="5"/>
  <c r="J222" i="5"/>
  <c r="R222" i="5"/>
  <c r="I222" i="5"/>
  <c r="H222" i="5"/>
  <c r="F222" i="5"/>
  <c r="AB242" i="5"/>
  <c r="S242" i="5"/>
  <c r="AB204" i="5"/>
  <c r="AB212" i="5"/>
  <c r="AB220" i="5"/>
  <c r="J231" i="5"/>
  <c r="I231" i="5"/>
  <c r="X231" i="5"/>
  <c r="AB233" i="5"/>
  <c r="S233" i="5"/>
  <c r="F237" i="5"/>
  <c r="X237" i="5"/>
  <c r="R237" i="5"/>
  <c r="J237" i="5"/>
  <c r="I237" i="5"/>
  <c r="H237" i="5"/>
  <c r="AB259" i="5"/>
  <c r="D14" i="6"/>
  <c r="AB247" i="5"/>
  <c r="R263" i="5"/>
  <c r="J263" i="5"/>
  <c r="I263" i="5"/>
  <c r="H263" i="5"/>
  <c r="F263" i="5"/>
  <c r="X263" i="5"/>
  <c r="R288" i="5"/>
  <c r="J288" i="5"/>
  <c r="I288" i="5"/>
  <c r="H288" i="5"/>
  <c r="F288" i="5"/>
  <c r="X288" i="5"/>
  <c r="J303" i="5"/>
  <c r="I303" i="5"/>
  <c r="R303" i="5"/>
  <c r="H303" i="5"/>
  <c r="F303" i="5"/>
  <c r="X303" i="5"/>
  <c r="AB333" i="5"/>
  <c r="S333" i="5"/>
  <c r="S343" i="5"/>
  <c r="R169" i="5"/>
  <c r="R181" i="5"/>
  <c r="R185" i="5"/>
  <c r="R189" i="5"/>
  <c r="R193" i="5"/>
  <c r="AB205" i="5"/>
  <c r="AB213" i="5"/>
  <c r="AB221" i="5"/>
  <c r="I238" i="5"/>
  <c r="H238" i="5"/>
  <c r="J238" i="5"/>
  <c r="F238" i="5"/>
  <c r="X238" i="5"/>
  <c r="R255" i="5"/>
  <c r="J255" i="5"/>
  <c r="I255" i="5"/>
  <c r="H255" i="5"/>
  <c r="J341" i="5"/>
  <c r="I341" i="5"/>
  <c r="H341" i="5"/>
  <c r="R341" i="5"/>
  <c r="F341" i="5"/>
  <c r="H199" i="5"/>
  <c r="S200" i="5"/>
  <c r="AB223" i="5"/>
  <c r="R224" i="5"/>
  <c r="H231" i="5"/>
  <c r="AB243" i="5"/>
  <c r="AB194" i="5"/>
  <c r="F196" i="5"/>
  <c r="I199" i="5"/>
  <c r="F202" i="5"/>
  <c r="AB208" i="5"/>
  <c r="F210" i="5"/>
  <c r="AB216" i="5"/>
  <c r="F218" i="5"/>
  <c r="R231" i="5"/>
  <c r="X244" i="5"/>
  <c r="R244" i="5"/>
  <c r="J244" i="5"/>
  <c r="I244" i="5"/>
  <c r="H244" i="5"/>
  <c r="F244" i="5"/>
  <c r="R251" i="5"/>
  <c r="J251" i="5"/>
  <c r="I251" i="5"/>
  <c r="H251" i="5"/>
  <c r="F251" i="5"/>
  <c r="X251" i="5"/>
  <c r="F255" i="5"/>
  <c r="X256" i="5"/>
  <c r="R256" i="5"/>
  <c r="J256" i="5"/>
  <c r="I256" i="5"/>
  <c r="F256" i="5"/>
  <c r="AB266" i="5"/>
  <c r="S266" i="5"/>
  <c r="J292" i="5"/>
  <c r="I292" i="5"/>
  <c r="H292" i="5"/>
  <c r="F292" i="5"/>
  <c r="X292" i="5"/>
  <c r="R292" i="5"/>
  <c r="J199" i="5"/>
  <c r="H208" i="5"/>
  <c r="F208" i="5"/>
  <c r="H216" i="5"/>
  <c r="F216" i="5"/>
  <c r="S229" i="5"/>
  <c r="S230" i="5"/>
  <c r="R232" i="5"/>
  <c r="I232" i="5"/>
  <c r="H232" i="5"/>
  <c r="F232" i="5"/>
  <c r="AB235" i="5"/>
  <c r="S241" i="5"/>
  <c r="X264" i="5"/>
  <c r="R264" i="5"/>
  <c r="J264" i="5"/>
  <c r="I264" i="5"/>
  <c r="H264" i="5"/>
  <c r="F264" i="5"/>
  <c r="AB298" i="5"/>
  <c r="S298" i="5"/>
  <c r="H318" i="5"/>
  <c r="R318" i="5"/>
  <c r="J318" i="5"/>
  <c r="X318" i="5"/>
  <c r="F318" i="5"/>
  <c r="S322" i="5"/>
  <c r="AB322" i="5"/>
  <c r="S245" i="5"/>
  <c r="AB250" i="5"/>
  <c r="AB251" i="5"/>
  <c r="AB258" i="5"/>
  <c r="X268" i="5"/>
  <c r="R268" i="5"/>
  <c r="J268" i="5"/>
  <c r="I268" i="5"/>
  <c r="AB287" i="5"/>
  <c r="S287" i="5"/>
  <c r="AB311" i="5"/>
  <c r="S311" i="5"/>
  <c r="R316" i="5"/>
  <c r="I316" i="5"/>
  <c r="H316" i="5"/>
  <c r="F316" i="5"/>
  <c r="X316" i="5"/>
  <c r="S249" i="5"/>
  <c r="AB263" i="5"/>
  <c r="AB270" i="5"/>
  <c r="S296" i="5"/>
  <c r="AB296" i="5"/>
  <c r="J299" i="5"/>
  <c r="I299" i="5"/>
  <c r="X299" i="5"/>
  <c r="R299" i="5"/>
  <c r="H299" i="5"/>
  <c r="J319" i="5"/>
  <c r="I319" i="5"/>
  <c r="R319" i="5"/>
  <c r="H319" i="5"/>
  <c r="F319" i="5"/>
  <c r="X319" i="5"/>
  <c r="AB330" i="5"/>
  <c r="S330" i="5"/>
  <c r="S339" i="5"/>
  <c r="F225" i="5"/>
  <c r="X225" i="5"/>
  <c r="F233" i="5"/>
  <c r="X233" i="5"/>
  <c r="AB275" i="5"/>
  <c r="F299" i="5"/>
  <c r="H325" i="5"/>
  <c r="I325" i="5"/>
  <c r="F325" i="5"/>
  <c r="X325" i="5"/>
  <c r="R325" i="5"/>
  <c r="J325" i="5"/>
  <c r="AB234" i="5"/>
  <c r="AB255" i="5"/>
  <c r="X255" i="5"/>
  <c r="AB262" i="5"/>
  <c r="X272" i="5"/>
  <c r="R272" i="5"/>
  <c r="J272" i="5"/>
  <c r="I272" i="5"/>
  <c r="S280" i="5"/>
  <c r="AB280" i="5"/>
  <c r="H290" i="5"/>
  <c r="R290" i="5"/>
  <c r="J290" i="5"/>
  <c r="F290" i="5"/>
  <c r="X290" i="5"/>
  <c r="AB328" i="5"/>
  <c r="S328" i="5"/>
  <c r="AB274" i="5"/>
  <c r="J279" i="5"/>
  <c r="R279" i="5"/>
  <c r="I279" i="5"/>
  <c r="H279" i="5"/>
  <c r="S284" i="5"/>
  <c r="AB284" i="5"/>
  <c r="J345" i="5"/>
  <c r="I345" i="5"/>
  <c r="H345" i="5"/>
  <c r="R345" i="5"/>
  <c r="F345" i="5"/>
  <c r="J307" i="5"/>
  <c r="I307" i="5"/>
  <c r="X307" i="5"/>
  <c r="S336" i="5"/>
  <c r="S253" i="5"/>
  <c r="S257" i="5"/>
  <c r="S261" i="5"/>
  <c r="S265" i="5"/>
  <c r="S269" i="5"/>
  <c r="S273" i="5"/>
  <c r="F281" i="5"/>
  <c r="R281" i="5"/>
  <c r="J281" i="5"/>
  <c r="AB292" i="5"/>
  <c r="H294" i="5"/>
  <c r="R294" i="5"/>
  <c r="J294" i="5"/>
  <c r="I294" i="5"/>
  <c r="R300" i="5"/>
  <c r="I300" i="5"/>
  <c r="H300" i="5"/>
  <c r="F300" i="5"/>
  <c r="F307" i="5"/>
  <c r="AB321" i="5"/>
  <c r="S321" i="5"/>
  <c r="AB324" i="5"/>
  <c r="F336" i="5"/>
  <c r="R336" i="5"/>
  <c r="J336" i="5"/>
  <c r="I336" i="5"/>
  <c r="H336" i="5"/>
  <c r="S340" i="5"/>
  <c r="F22" i="6"/>
  <c r="B22" i="6"/>
  <c r="F27" i="6"/>
  <c r="X281" i="5"/>
  <c r="F285" i="5"/>
  <c r="J285" i="5"/>
  <c r="I285" i="5"/>
  <c r="H285" i="5"/>
  <c r="AB303" i="5"/>
  <c r="F340" i="5"/>
  <c r="R340" i="5"/>
  <c r="J340" i="5"/>
  <c r="I340" i="5"/>
  <c r="H340" i="5"/>
  <c r="S344" i="5"/>
  <c r="F64" i="6"/>
  <c r="H64" i="6"/>
  <c r="G5" i="6"/>
  <c r="H5" i="6"/>
  <c r="H6" i="6"/>
  <c r="X276" i="5"/>
  <c r="X285" i="5"/>
  <c r="H307" i="5"/>
  <c r="J315" i="5"/>
  <c r="I315" i="5"/>
  <c r="X315" i="5"/>
  <c r="S319" i="5"/>
  <c r="AB329" i="5"/>
  <c r="S329" i="5"/>
  <c r="S332" i="5"/>
  <c r="F344" i="5"/>
  <c r="R344" i="5"/>
  <c r="J344" i="5"/>
  <c r="I344" i="5"/>
  <c r="H344" i="5"/>
  <c r="AB276" i="5"/>
  <c r="H281" i="5"/>
  <c r="I296" i="5"/>
  <c r="H296" i="5"/>
  <c r="F296" i="5"/>
  <c r="F305" i="5"/>
  <c r="X305" i="5"/>
  <c r="R305" i="5"/>
  <c r="J305" i="5"/>
  <c r="I305" i="5"/>
  <c r="H305" i="5"/>
  <c r="R307" i="5"/>
  <c r="R308" i="5"/>
  <c r="I308" i="5"/>
  <c r="H308" i="5"/>
  <c r="F308" i="5"/>
  <c r="F315" i="5"/>
  <c r="J326" i="5"/>
  <c r="I326" i="5"/>
  <c r="R326" i="5"/>
  <c r="H326" i="5"/>
  <c r="F326" i="5"/>
  <c r="X326" i="5"/>
  <c r="F332" i="5"/>
  <c r="X332" i="5"/>
  <c r="I332" i="5"/>
  <c r="H332" i="5"/>
  <c r="R332" i="5"/>
  <c r="J332" i="5"/>
  <c r="J337" i="5"/>
  <c r="I337" i="5"/>
  <c r="H337" i="5"/>
  <c r="G17" i="6"/>
  <c r="H17" i="6"/>
  <c r="AB286" i="5"/>
  <c r="S286" i="5"/>
  <c r="S293" i="5"/>
  <c r="S295" i="5"/>
  <c r="J304" i="5"/>
  <c r="J312" i="5"/>
  <c r="S338" i="5"/>
  <c r="S342" i="5"/>
  <c r="S346" i="5"/>
  <c r="D9" i="6"/>
  <c r="G15" i="6"/>
  <c r="H15" i="6"/>
  <c r="B20" i="6"/>
  <c r="F25" i="6"/>
  <c r="AB290" i="5"/>
  <c r="S290" i="5"/>
  <c r="F301" i="5"/>
  <c r="X301" i="5"/>
  <c r="AB301" i="5"/>
  <c r="F309" i="5"/>
  <c r="X309" i="5"/>
  <c r="AB309" i="5"/>
  <c r="F317" i="5"/>
  <c r="X317" i="5"/>
  <c r="AB317" i="5"/>
  <c r="S337" i="5"/>
  <c r="F338" i="5"/>
  <c r="R338" i="5"/>
  <c r="J338" i="5"/>
  <c r="S341" i="5"/>
  <c r="F342" i="5"/>
  <c r="R342" i="5"/>
  <c r="J342" i="5"/>
  <c r="S345" i="5"/>
  <c r="F346" i="5"/>
  <c r="R346" i="5"/>
  <c r="J346" i="5"/>
  <c r="AB302" i="5"/>
  <c r="AB310" i="5"/>
  <c r="AB318" i="5"/>
  <c r="R331" i="5"/>
  <c r="J331" i="5"/>
  <c r="I331" i="5"/>
  <c r="AB334" i="5"/>
  <c r="D4" i="6"/>
  <c r="F324" i="5"/>
  <c r="X324" i="5"/>
  <c r="R335" i="5"/>
  <c r="J335" i="5"/>
  <c r="S347" i="5"/>
  <c r="S320" i="5"/>
  <c r="AB325" i="5"/>
  <c r="X327"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X18" i="5"/>
  <c r="X76" i="5"/>
  <c r="X40" i="5"/>
  <c r="X35" i="5"/>
  <c r="X7" i="5"/>
  <c r="X49" i="5"/>
  <c r="X15" i="5"/>
  <c r="X39" i="5"/>
  <c r="X75" i="5"/>
  <c r="X6" i="5"/>
  <c r="X29" i="5"/>
  <c r="X53" i="5"/>
  <c r="X37" i="5"/>
  <c r="X22" i="5"/>
  <c r="X45" i="5"/>
  <c r="C12" i="6"/>
  <c r="C7" i="6"/>
  <c r="B32" i="6"/>
  <c r="X161" i="5"/>
  <c r="J127" i="5"/>
  <c r="F252" i="5"/>
  <c r="F144" i="5"/>
  <c r="R144" i="5"/>
  <c r="X206" i="5"/>
  <c r="R24" i="5"/>
  <c r="I206" i="5"/>
  <c r="I323" i="5"/>
  <c r="H168" i="5"/>
  <c r="R206" i="5"/>
  <c r="R160" i="5"/>
  <c r="R240" i="5"/>
  <c r="J206" i="5"/>
  <c r="H240" i="5"/>
  <c r="X240" i="5"/>
  <c r="H160" i="5"/>
  <c r="F206" i="5"/>
  <c r="H206" i="5"/>
  <c r="I160" i="5"/>
  <c r="X100" i="5"/>
  <c r="R100" i="5"/>
  <c r="J161" i="5"/>
  <c r="R161" i="5"/>
  <c r="F136" i="5"/>
  <c r="H136" i="5"/>
  <c r="I136" i="5"/>
  <c r="R66" i="5"/>
  <c r="X136" i="5"/>
  <c r="R136" i="5"/>
  <c r="H132" i="5"/>
  <c r="J323" i="5"/>
  <c r="H323" i="5"/>
  <c r="R323" i="5"/>
  <c r="R153" i="5"/>
  <c r="X153" i="5"/>
  <c r="X323" i="5"/>
  <c r="F323" i="5"/>
  <c r="X229" i="5"/>
  <c r="J297" i="5"/>
  <c r="R297" i="5"/>
  <c r="F96" i="5"/>
  <c r="X96" i="5"/>
  <c r="X252" i="5"/>
  <c r="I260" i="5"/>
  <c r="R64" i="5"/>
  <c r="B30" i="6"/>
  <c r="G30" i="6"/>
  <c r="B41" i="6"/>
  <c r="G41" i="6"/>
  <c r="B31" i="6"/>
  <c r="G31" i="6"/>
  <c r="J260" i="5"/>
  <c r="X168" i="5"/>
  <c r="R260" i="5"/>
  <c r="H252" i="5"/>
  <c r="X160" i="5"/>
  <c r="J240" i="5"/>
  <c r="X260" i="5"/>
  <c r="I252" i="5"/>
  <c r="F168" i="5"/>
  <c r="J252" i="5"/>
  <c r="H144" i="5"/>
  <c r="X144" i="5"/>
  <c r="F248" i="5"/>
  <c r="F229" i="5"/>
  <c r="R132" i="5"/>
  <c r="F132" i="5"/>
  <c r="I229" i="5"/>
  <c r="H248" i="5"/>
  <c r="J248" i="5"/>
  <c r="I132" i="5"/>
  <c r="R248" i="5"/>
  <c r="H229" i="5"/>
  <c r="F224" i="5"/>
  <c r="X248" i="5"/>
  <c r="J229" i="5"/>
  <c r="R229" i="5"/>
  <c r="X308" i="5"/>
  <c r="J308" i="5"/>
  <c r="R16" i="5"/>
  <c r="I108" i="5"/>
  <c r="R108" i="5"/>
  <c r="J108" i="5"/>
  <c r="F108" i="5"/>
  <c r="X108" i="5"/>
  <c r="R33" i="5"/>
  <c r="H108" i="5"/>
  <c r="I240" i="5"/>
  <c r="F240" i="5"/>
  <c r="I96" i="5"/>
  <c r="R96" i="5"/>
  <c r="J96" i="5"/>
  <c r="H96" i="5"/>
  <c r="I100" i="5"/>
  <c r="J100" i="5"/>
  <c r="R38" i="5"/>
  <c r="J224" i="5"/>
  <c r="I224" i="5"/>
  <c r="X224" i="5"/>
  <c r="X177" i="5"/>
  <c r="I177" i="5"/>
  <c r="J177" i="5"/>
  <c r="H177" i="5"/>
  <c r="F177" i="5"/>
  <c r="X173" i="5"/>
  <c r="I173" i="5"/>
  <c r="J173" i="5"/>
  <c r="H173" i="5"/>
  <c r="F173" i="5"/>
  <c r="R32" i="5"/>
  <c r="H260" i="5"/>
  <c r="F260" i="5"/>
  <c r="I127" i="5"/>
  <c r="R127" i="5"/>
  <c r="H127" i="5"/>
  <c r="F127" i="5"/>
  <c r="X127" i="5"/>
  <c r="X80" i="5"/>
  <c r="R80" i="5"/>
  <c r="J80" i="5"/>
  <c r="H80" i="5"/>
  <c r="F80" i="5"/>
  <c r="J144" i="5"/>
  <c r="F297" i="5"/>
  <c r="H297" i="5"/>
  <c r="X297" i="5"/>
  <c r="I297" i="5"/>
  <c r="F161" i="5"/>
  <c r="I161" i="5"/>
  <c r="H161" i="5"/>
  <c r="H200" i="5"/>
  <c r="F200" i="5"/>
  <c r="X200" i="5"/>
  <c r="R200" i="5"/>
  <c r="J200" i="5"/>
  <c r="I200" i="5"/>
  <c r="X169" i="5"/>
  <c r="I169" i="5"/>
  <c r="F169" i="5"/>
  <c r="H169" i="5"/>
  <c r="J169" i="5"/>
  <c r="J153" i="5"/>
  <c r="I153" i="5"/>
  <c r="F26" i="6"/>
  <c r="B52" i="6"/>
  <c r="G52" i="6"/>
  <c r="B37" i="6"/>
  <c r="G37" i="6"/>
  <c r="B42" i="6"/>
  <c r="G42" i="6"/>
  <c r="B40" i="6"/>
  <c r="G40" i="6"/>
  <c r="B50" i="6"/>
  <c r="G50" i="6"/>
  <c r="B25" i="6"/>
  <c r="G25" i="6"/>
  <c r="B35" i="6"/>
  <c r="G35" i="6"/>
  <c r="B39" i="6"/>
  <c r="G39" i="6"/>
  <c r="F24" i="6"/>
  <c r="C14" i="6"/>
  <c r="B44" i="6"/>
  <c r="G44" i="6"/>
  <c r="G32" i="6"/>
  <c r="B49" i="6"/>
  <c r="G49" i="6"/>
  <c r="B34" i="6"/>
  <c r="G34" i="6"/>
  <c r="B29" i="6"/>
  <c r="G29" i="6"/>
  <c r="B24" i="6"/>
  <c r="G24" i="6"/>
  <c r="G19" i="6"/>
  <c r="H19" i="6"/>
  <c r="F269" i="5"/>
  <c r="X269" i="5"/>
  <c r="R269" i="5"/>
  <c r="J269" i="5"/>
  <c r="I269" i="5"/>
  <c r="H269" i="5"/>
  <c r="D5" i="6"/>
  <c r="C5" i="6"/>
  <c r="F289" i="5"/>
  <c r="H289" i="5"/>
  <c r="X289" i="5"/>
  <c r="J289" i="5"/>
  <c r="I289" i="5"/>
  <c r="R289" i="5"/>
  <c r="G22" i="6"/>
  <c r="B47" i="6"/>
  <c r="G47" i="6"/>
  <c r="J347" i="5"/>
  <c r="I347" i="5"/>
  <c r="H347" i="5"/>
  <c r="R347" i="5"/>
  <c r="F347" i="5"/>
  <c r="X347" i="5"/>
  <c r="F277" i="5"/>
  <c r="R277" i="5"/>
  <c r="J277" i="5"/>
  <c r="I277" i="5"/>
  <c r="H277" i="5"/>
  <c r="X277" i="5"/>
  <c r="H302" i="5"/>
  <c r="R302" i="5"/>
  <c r="J302" i="5"/>
  <c r="I302" i="5"/>
  <c r="F302" i="5"/>
  <c r="X302" i="5"/>
  <c r="I242" i="5"/>
  <c r="H242" i="5"/>
  <c r="F242" i="5"/>
  <c r="R242" i="5"/>
  <c r="J242" i="5"/>
  <c r="X242" i="5"/>
  <c r="J235" i="5"/>
  <c r="I235" i="5"/>
  <c r="R235" i="5"/>
  <c r="H235" i="5"/>
  <c r="F235" i="5"/>
  <c r="X235" i="5"/>
  <c r="H212" i="5"/>
  <c r="F212" i="5"/>
  <c r="J212" i="5"/>
  <c r="I212" i="5"/>
  <c r="X212" i="5"/>
  <c r="R212" i="5"/>
  <c r="H226" i="5"/>
  <c r="J226" i="5"/>
  <c r="R226" i="5"/>
  <c r="I226" i="5"/>
  <c r="F226" i="5"/>
  <c r="X226" i="5"/>
  <c r="F162" i="5"/>
  <c r="X162" i="5"/>
  <c r="I162" i="5"/>
  <c r="J162" i="5"/>
  <c r="H162" i="5"/>
  <c r="R162" i="5"/>
  <c r="R122" i="5"/>
  <c r="F122" i="5"/>
  <c r="X122" i="5"/>
  <c r="J122" i="5"/>
  <c r="I122" i="5"/>
  <c r="H122" i="5"/>
  <c r="R115" i="5"/>
  <c r="J115" i="5"/>
  <c r="I115" i="5"/>
  <c r="H115" i="5"/>
  <c r="X115" i="5"/>
  <c r="F115" i="5"/>
  <c r="H97" i="5"/>
  <c r="F97" i="5"/>
  <c r="X97" i="5"/>
  <c r="R97" i="5"/>
  <c r="J97" i="5"/>
  <c r="I97" i="5"/>
  <c r="H101" i="5"/>
  <c r="F101" i="5"/>
  <c r="X101" i="5"/>
  <c r="R101" i="5"/>
  <c r="J101" i="5"/>
  <c r="I101" i="5"/>
  <c r="R113" i="5"/>
  <c r="J113" i="5"/>
  <c r="I113" i="5"/>
  <c r="H113" i="5"/>
  <c r="F113" i="5"/>
  <c r="X113" i="5"/>
  <c r="R55" i="5"/>
  <c r="R42" i="5"/>
  <c r="R36" i="5"/>
  <c r="R26" i="5"/>
  <c r="D74" i="4"/>
  <c r="D37" i="4"/>
  <c r="D61" i="4"/>
  <c r="D43" i="4"/>
  <c r="D49" i="4"/>
  <c r="D31" i="4"/>
  <c r="D67" i="4"/>
  <c r="D55" i="4"/>
  <c r="A17" i="6"/>
  <c r="B35" i="4"/>
  <c r="A22" i="6"/>
  <c r="B46" i="6"/>
  <c r="G46" i="6"/>
  <c r="B26" i="6"/>
  <c r="G26" i="6"/>
  <c r="G21" i="6"/>
  <c r="H21" i="6"/>
  <c r="B36" i="6"/>
  <c r="G36" i="6"/>
  <c r="G20" i="6"/>
  <c r="H20" i="6"/>
  <c r="B45" i="6"/>
  <c r="G45" i="6"/>
  <c r="D17" i="6"/>
  <c r="C17" i="6"/>
  <c r="H282" i="5"/>
  <c r="F282" i="5"/>
  <c r="X282" i="5"/>
  <c r="R282" i="5"/>
  <c r="J282" i="5"/>
  <c r="I282" i="5"/>
  <c r="F257" i="5"/>
  <c r="X257" i="5"/>
  <c r="R257" i="5"/>
  <c r="J257" i="5"/>
  <c r="I257" i="5"/>
  <c r="H257" i="5"/>
  <c r="J291" i="5"/>
  <c r="F291" i="5"/>
  <c r="X291" i="5"/>
  <c r="I291" i="5"/>
  <c r="H291" i="5"/>
  <c r="R291" i="5"/>
  <c r="B27" i="6"/>
  <c r="G27" i="6"/>
  <c r="I270" i="5"/>
  <c r="H270" i="5"/>
  <c r="F270" i="5"/>
  <c r="X270" i="5"/>
  <c r="R270" i="5"/>
  <c r="J270" i="5"/>
  <c r="J221" i="5"/>
  <c r="H221" i="5"/>
  <c r="F221" i="5"/>
  <c r="X221" i="5"/>
  <c r="R221" i="5"/>
  <c r="I221" i="5"/>
  <c r="F130" i="5"/>
  <c r="R130" i="5"/>
  <c r="I130" i="5"/>
  <c r="J130" i="5"/>
  <c r="H130" i="5"/>
  <c r="X130" i="5"/>
  <c r="H109" i="5"/>
  <c r="F109" i="5"/>
  <c r="X109" i="5"/>
  <c r="R109" i="5"/>
  <c r="J109" i="5"/>
  <c r="I109" i="5"/>
  <c r="H81" i="5"/>
  <c r="F81" i="5"/>
  <c r="X81" i="5"/>
  <c r="R81" i="5"/>
  <c r="J81" i="5"/>
  <c r="I81" i="5"/>
  <c r="J106" i="5"/>
  <c r="I106" i="5"/>
  <c r="H106" i="5"/>
  <c r="X106" i="5"/>
  <c r="R106" i="5"/>
  <c r="F106" i="5"/>
  <c r="R61" i="5"/>
  <c r="R51" i="5"/>
  <c r="G61" i="4"/>
  <c r="G31" i="4"/>
  <c r="G49" i="4"/>
  <c r="G43" i="4"/>
  <c r="G37" i="4"/>
  <c r="G67" i="4"/>
  <c r="G74" i="4"/>
  <c r="G55" i="4"/>
  <c r="F265" i="5"/>
  <c r="X265" i="5"/>
  <c r="R265" i="5"/>
  <c r="I265" i="5"/>
  <c r="H265" i="5"/>
  <c r="J265" i="5"/>
  <c r="R239" i="5"/>
  <c r="J239" i="5"/>
  <c r="I239" i="5"/>
  <c r="F239" i="5"/>
  <c r="X239" i="5"/>
  <c r="H239" i="5"/>
  <c r="H174" i="5"/>
  <c r="F174" i="5"/>
  <c r="X174" i="5"/>
  <c r="R174" i="5"/>
  <c r="I174" i="5"/>
  <c r="J174" i="5"/>
  <c r="H170" i="5"/>
  <c r="F170" i="5"/>
  <c r="X170" i="5"/>
  <c r="I170" i="5"/>
  <c r="R170" i="5"/>
  <c r="J170" i="5"/>
  <c r="I135" i="5"/>
  <c r="J135" i="5"/>
  <c r="H135" i="5"/>
  <c r="F135" i="5"/>
  <c r="X135" i="5"/>
  <c r="R135" i="5"/>
  <c r="X133" i="5"/>
  <c r="R133" i="5"/>
  <c r="I133" i="5"/>
  <c r="J133" i="5"/>
  <c r="H133" i="5"/>
  <c r="F133" i="5"/>
  <c r="R124" i="5"/>
  <c r="I124" i="5"/>
  <c r="H124" i="5"/>
  <c r="F124" i="5"/>
  <c r="X124" i="5"/>
  <c r="J124" i="5"/>
  <c r="F261" i="5"/>
  <c r="X261" i="5"/>
  <c r="R261" i="5"/>
  <c r="J261" i="5"/>
  <c r="I261" i="5"/>
  <c r="H261" i="5"/>
  <c r="J311" i="5"/>
  <c r="I311" i="5"/>
  <c r="R311" i="5"/>
  <c r="H311" i="5"/>
  <c r="F311" i="5"/>
  <c r="X311" i="5"/>
  <c r="I250" i="5"/>
  <c r="H250" i="5"/>
  <c r="F250" i="5"/>
  <c r="J250" i="5"/>
  <c r="X250" i="5"/>
  <c r="R250" i="5"/>
  <c r="I274" i="5"/>
  <c r="H274" i="5"/>
  <c r="F274" i="5"/>
  <c r="X274" i="5"/>
  <c r="J274" i="5"/>
  <c r="R274" i="5"/>
  <c r="H190" i="5"/>
  <c r="F190" i="5"/>
  <c r="X190" i="5"/>
  <c r="R190" i="5"/>
  <c r="J190" i="5"/>
  <c r="I190" i="5"/>
  <c r="A25" i="6"/>
  <c r="B57" i="4"/>
  <c r="A40" i="6"/>
  <c r="B51" i="4"/>
  <c r="A35" i="6"/>
  <c r="B69" i="4"/>
  <c r="A50" i="6"/>
  <c r="B63" i="4"/>
  <c r="A45" i="6"/>
  <c r="F67" i="6"/>
  <c r="F31" i="6"/>
  <c r="F46" i="6"/>
  <c r="F41" i="6"/>
  <c r="H41" i="6"/>
  <c r="D41" i="6"/>
  <c r="F36" i="6"/>
  <c r="H36" i="6"/>
  <c r="D36" i="6"/>
  <c r="F51" i="6"/>
  <c r="H51" i="6"/>
  <c r="D51" i="6"/>
  <c r="J322" i="5"/>
  <c r="I322" i="5"/>
  <c r="X322" i="5"/>
  <c r="R322" i="5"/>
  <c r="H322" i="5"/>
  <c r="F322" i="5"/>
  <c r="F45" i="6"/>
  <c r="H45" i="6"/>
  <c r="D45" i="6"/>
  <c r="F66" i="6"/>
  <c r="F50" i="6"/>
  <c r="H50" i="6"/>
  <c r="D50" i="6"/>
  <c r="F30" i="6"/>
  <c r="H25" i="6"/>
  <c r="F35" i="6"/>
  <c r="F40" i="6"/>
  <c r="F253" i="5"/>
  <c r="X253" i="5"/>
  <c r="R253" i="5"/>
  <c r="J253" i="5"/>
  <c r="I253" i="5"/>
  <c r="H253" i="5"/>
  <c r="J334" i="5"/>
  <c r="I334" i="5"/>
  <c r="H334" i="5"/>
  <c r="F334" i="5"/>
  <c r="X334" i="5"/>
  <c r="R334" i="5"/>
  <c r="I246" i="5"/>
  <c r="H246" i="5"/>
  <c r="F246" i="5"/>
  <c r="R246" i="5"/>
  <c r="J246" i="5"/>
  <c r="X246" i="5"/>
  <c r="H230" i="5"/>
  <c r="I230" i="5"/>
  <c r="F230" i="5"/>
  <c r="R230" i="5"/>
  <c r="J230" i="5"/>
  <c r="X230" i="5"/>
  <c r="R247" i="5"/>
  <c r="J247" i="5"/>
  <c r="I247" i="5"/>
  <c r="H247" i="5"/>
  <c r="F247" i="5"/>
  <c r="X247" i="5"/>
  <c r="F241" i="5"/>
  <c r="X241" i="5"/>
  <c r="R241" i="5"/>
  <c r="J241" i="5"/>
  <c r="I241" i="5"/>
  <c r="H241" i="5"/>
  <c r="J213" i="5"/>
  <c r="H213" i="5"/>
  <c r="F213" i="5"/>
  <c r="X213" i="5"/>
  <c r="R213" i="5"/>
  <c r="I213" i="5"/>
  <c r="F313" i="5"/>
  <c r="X313" i="5"/>
  <c r="R313" i="5"/>
  <c r="J313" i="5"/>
  <c r="I313" i="5"/>
  <c r="H313" i="5"/>
  <c r="H182" i="5"/>
  <c r="F182" i="5"/>
  <c r="X182" i="5"/>
  <c r="R182" i="5"/>
  <c r="J182" i="5"/>
  <c r="I182" i="5"/>
  <c r="F158" i="5"/>
  <c r="X158" i="5"/>
  <c r="R158" i="5"/>
  <c r="H158" i="5"/>
  <c r="I158" i="5"/>
  <c r="J158" i="5"/>
  <c r="R267" i="5"/>
  <c r="J267" i="5"/>
  <c r="I267" i="5"/>
  <c r="H267" i="5"/>
  <c r="F267" i="5"/>
  <c r="X267" i="5"/>
  <c r="J187" i="5"/>
  <c r="I187" i="5"/>
  <c r="H187" i="5"/>
  <c r="X187" i="5"/>
  <c r="F187" i="5"/>
  <c r="R187" i="5"/>
  <c r="I119" i="5"/>
  <c r="H119" i="5"/>
  <c r="R119" i="5"/>
  <c r="J119" i="5"/>
  <c r="F119" i="5"/>
  <c r="X119" i="5"/>
  <c r="H105" i="5"/>
  <c r="F105" i="5"/>
  <c r="X105" i="5"/>
  <c r="R105" i="5"/>
  <c r="J105" i="5"/>
  <c r="I105" i="5"/>
  <c r="R59" i="5"/>
  <c r="R44" i="5"/>
  <c r="R31" i="5"/>
  <c r="R30" i="5"/>
  <c r="R27" i="5"/>
  <c r="R50" i="5"/>
  <c r="A24" i="6"/>
  <c r="B68" i="4"/>
  <c r="A49" i="6"/>
  <c r="B62" i="4"/>
  <c r="A44" i="6"/>
  <c r="B50" i="4"/>
  <c r="A34" i="6"/>
  <c r="B56" i="4"/>
  <c r="A39" i="6"/>
  <c r="J330" i="5"/>
  <c r="I330" i="5"/>
  <c r="X330" i="5"/>
  <c r="R330" i="5"/>
  <c r="H330" i="5"/>
  <c r="F330" i="5"/>
  <c r="H310" i="5"/>
  <c r="R310" i="5"/>
  <c r="J310" i="5"/>
  <c r="I310" i="5"/>
  <c r="F310" i="5"/>
  <c r="X310" i="5"/>
  <c r="D64" i="6"/>
  <c r="C64" i="6"/>
  <c r="J343" i="5"/>
  <c r="I343" i="5"/>
  <c r="H343" i="5"/>
  <c r="R343" i="5"/>
  <c r="F343" i="5"/>
  <c r="I262" i="5"/>
  <c r="H262" i="5"/>
  <c r="F262" i="5"/>
  <c r="X262" i="5"/>
  <c r="R262" i="5"/>
  <c r="J262" i="5"/>
  <c r="I112" i="5"/>
  <c r="H112" i="5"/>
  <c r="F112" i="5"/>
  <c r="X112" i="5"/>
  <c r="R112" i="5"/>
  <c r="J112" i="5"/>
  <c r="J102" i="5"/>
  <c r="I102" i="5"/>
  <c r="H102" i="5"/>
  <c r="X102" i="5"/>
  <c r="R102" i="5"/>
  <c r="F102" i="5"/>
  <c r="R54" i="5"/>
  <c r="A27" i="6"/>
  <c r="B53" i="4"/>
  <c r="A37" i="6"/>
  <c r="B65" i="4"/>
  <c r="A47" i="6"/>
  <c r="B71" i="4"/>
  <c r="A52" i="6"/>
  <c r="B59" i="4"/>
  <c r="A42" i="6"/>
  <c r="H306" i="5"/>
  <c r="I306" i="5"/>
  <c r="F306" i="5"/>
  <c r="X306" i="5"/>
  <c r="R306" i="5"/>
  <c r="J306" i="5"/>
  <c r="F42" i="6"/>
  <c r="H42" i="6"/>
  <c r="D42" i="6"/>
  <c r="H27" i="6"/>
  <c r="F68" i="6"/>
  <c r="F32" i="6"/>
  <c r="F52" i="6"/>
  <c r="H52" i="6"/>
  <c r="D52" i="6"/>
  <c r="F47" i="6"/>
  <c r="F37" i="6"/>
  <c r="H37" i="6"/>
  <c r="D37" i="6"/>
  <c r="F166" i="5"/>
  <c r="X166" i="5"/>
  <c r="J166" i="5"/>
  <c r="R166" i="5"/>
  <c r="I166" i="5"/>
  <c r="H166" i="5"/>
  <c r="I143" i="5"/>
  <c r="J143" i="5"/>
  <c r="H143" i="5"/>
  <c r="F143" i="5"/>
  <c r="X143" i="5"/>
  <c r="R143" i="5"/>
  <c r="A15" i="6"/>
  <c r="B33" i="4"/>
  <c r="A20" i="6"/>
  <c r="F249" i="5"/>
  <c r="X249" i="5"/>
  <c r="H249" i="5"/>
  <c r="R249" i="5"/>
  <c r="J249" i="5"/>
  <c r="I249" i="5"/>
  <c r="J283" i="5"/>
  <c r="R283" i="5"/>
  <c r="I283" i="5"/>
  <c r="X283" i="5"/>
  <c r="H283" i="5"/>
  <c r="F283" i="5"/>
  <c r="H22" i="6"/>
  <c r="K68" i="6"/>
  <c r="F328" i="5"/>
  <c r="X328" i="5"/>
  <c r="R328" i="5"/>
  <c r="J328" i="5"/>
  <c r="I328" i="5"/>
  <c r="H328" i="5"/>
  <c r="J287" i="5"/>
  <c r="I287" i="5"/>
  <c r="H287" i="5"/>
  <c r="R287" i="5"/>
  <c r="F287" i="5"/>
  <c r="X287" i="5"/>
  <c r="J205" i="5"/>
  <c r="H205" i="5"/>
  <c r="F205" i="5"/>
  <c r="X205" i="5"/>
  <c r="R205" i="5"/>
  <c r="I205" i="5"/>
  <c r="R259" i="5"/>
  <c r="J259" i="5"/>
  <c r="I259" i="5"/>
  <c r="H259" i="5"/>
  <c r="F259" i="5"/>
  <c r="X259" i="5"/>
  <c r="R271" i="5"/>
  <c r="J271" i="5"/>
  <c r="I271" i="5"/>
  <c r="H271" i="5"/>
  <c r="F271" i="5"/>
  <c r="X271" i="5"/>
  <c r="I254" i="5"/>
  <c r="H254" i="5"/>
  <c r="F254" i="5"/>
  <c r="X254" i="5"/>
  <c r="R254" i="5"/>
  <c r="J254" i="5"/>
  <c r="J175" i="5"/>
  <c r="I175" i="5"/>
  <c r="H175" i="5"/>
  <c r="F175" i="5"/>
  <c r="R175" i="5"/>
  <c r="X175" i="5"/>
  <c r="J179" i="5"/>
  <c r="I179" i="5"/>
  <c r="H179" i="5"/>
  <c r="X179" i="5"/>
  <c r="R179" i="5"/>
  <c r="F179" i="5"/>
  <c r="I139" i="5"/>
  <c r="H139" i="5"/>
  <c r="R139" i="5"/>
  <c r="J139" i="5"/>
  <c r="F139" i="5"/>
  <c r="X139" i="5"/>
  <c r="H89" i="5"/>
  <c r="F89" i="5"/>
  <c r="X89" i="5"/>
  <c r="R89" i="5"/>
  <c r="J89" i="5"/>
  <c r="I89" i="5"/>
  <c r="X141" i="5"/>
  <c r="R141" i="5"/>
  <c r="I141" i="5"/>
  <c r="J141" i="5"/>
  <c r="H141" i="5"/>
  <c r="F141" i="5"/>
  <c r="I147" i="5"/>
  <c r="H147" i="5"/>
  <c r="R147" i="5"/>
  <c r="J147" i="5"/>
  <c r="X147" i="5"/>
  <c r="F147" i="5"/>
  <c r="H85" i="5"/>
  <c r="F85" i="5"/>
  <c r="X85" i="5"/>
  <c r="R85" i="5"/>
  <c r="J85" i="5"/>
  <c r="I85" i="5"/>
  <c r="J78" i="5"/>
  <c r="I78" i="5"/>
  <c r="H78" i="5"/>
  <c r="X78" i="5"/>
  <c r="R78" i="5"/>
  <c r="F78" i="5"/>
  <c r="X121" i="5"/>
  <c r="J121" i="5"/>
  <c r="I121" i="5"/>
  <c r="H121" i="5"/>
  <c r="F121" i="5"/>
  <c r="R121" i="5"/>
  <c r="C16" i="6"/>
  <c r="K67" i="6"/>
  <c r="D16" i="6"/>
  <c r="R275" i="5"/>
  <c r="J275" i="5"/>
  <c r="I275" i="5"/>
  <c r="H275" i="5"/>
  <c r="F275" i="5"/>
  <c r="X275" i="5"/>
  <c r="I266" i="5"/>
  <c r="H266" i="5"/>
  <c r="F266" i="5"/>
  <c r="X266" i="5"/>
  <c r="R266" i="5"/>
  <c r="J266" i="5"/>
  <c r="H298" i="5"/>
  <c r="I298" i="5"/>
  <c r="F298" i="5"/>
  <c r="X298" i="5"/>
  <c r="R298" i="5"/>
  <c r="J298" i="5"/>
  <c r="R77" i="5"/>
  <c r="R74" i="5"/>
  <c r="R62" i="5"/>
  <c r="A26" i="6"/>
  <c r="B70" i="4"/>
  <c r="A51" i="6"/>
  <c r="B52" i="4"/>
  <c r="A36" i="6"/>
  <c r="B58" i="4"/>
  <c r="A41" i="6"/>
  <c r="B64" i="4"/>
  <c r="A46" i="6"/>
  <c r="A14" i="6"/>
  <c r="B32" i="4"/>
  <c r="A19" i="6"/>
  <c r="D15" i="6"/>
  <c r="C15" i="6"/>
  <c r="K66" i="6"/>
  <c r="H314" i="5"/>
  <c r="I314" i="5"/>
  <c r="F314" i="5"/>
  <c r="X314" i="5"/>
  <c r="R314" i="5"/>
  <c r="J314" i="5"/>
  <c r="H329" i="5"/>
  <c r="I329" i="5"/>
  <c r="F329" i="5"/>
  <c r="R329" i="5"/>
  <c r="J329" i="5"/>
  <c r="X329" i="5"/>
  <c r="F245" i="5"/>
  <c r="X245" i="5"/>
  <c r="I245" i="5"/>
  <c r="H245" i="5"/>
  <c r="R245" i="5"/>
  <c r="J245" i="5"/>
  <c r="H321" i="5"/>
  <c r="I321" i="5"/>
  <c r="F321" i="5"/>
  <c r="R321" i="5"/>
  <c r="J321" i="5"/>
  <c r="X321" i="5"/>
  <c r="H333" i="5"/>
  <c r="F333" i="5"/>
  <c r="I333" i="5"/>
  <c r="X333" i="5"/>
  <c r="R333" i="5"/>
  <c r="J333" i="5"/>
  <c r="H186" i="5"/>
  <c r="F186" i="5"/>
  <c r="X186" i="5"/>
  <c r="R186" i="5"/>
  <c r="J186" i="5"/>
  <c r="I186" i="5"/>
  <c r="H178" i="5"/>
  <c r="F178" i="5"/>
  <c r="X178" i="5"/>
  <c r="R178" i="5"/>
  <c r="I178" i="5"/>
  <c r="J178" i="5"/>
  <c r="J171" i="5"/>
  <c r="I171" i="5"/>
  <c r="H171" i="5"/>
  <c r="X171" i="5"/>
  <c r="R171" i="5"/>
  <c r="F171" i="5"/>
  <c r="I126" i="5"/>
  <c r="R126" i="5"/>
  <c r="J126" i="5"/>
  <c r="H126" i="5"/>
  <c r="F126" i="5"/>
  <c r="X126" i="5"/>
  <c r="H93" i="5"/>
  <c r="F93" i="5"/>
  <c r="X93" i="5"/>
  <c r="R93" i="5"/>
  <c r="I93" i="5"/>
  <c r="J93" i="5"/>
  <c r="R72" i="5"/>
  <c r="R69" i="5"/>
  <c r="R41" i="5"/>
  <c r="R10" i="5"/>
  <c r="A16" i="6"/>
  <c r="B34" i="4"/>
  <c r="A21" i="6"/>
  <c r="F44" i="6"/>
  <c r="H44" i="6"/>
  <c r="D44" i="6"/>
  <c r="F34" i="6"/>
  <c r="F39" i="6"/>
  <c r="F54" i="6"/>
  <c r="F65" i="6"/>
  <c r="F49" i="6"/>
  <c r="F29" i="6"/>
  <c r="H29" i="6"/>
  <c r="F273" i="5"/>
  <c r="X273" i="5"/>
  <c r="R273" i="5"/>
  <c r="J273" i="5"/>
  <c r="I273" i="5"/>
  <c r="H273" i="5"/>
  <c r="D6" i="6"/>
  <c r="C6" i="6"/>
  <c r="H278" i="5"/>
  <c r="I278" i="5"/>
  <c r="F278" i="5"/>
  <c r="X278" i="5"/>
  <c r="R278" i="5"/>
  <c r="J278" i="5"/>
  <c r="J339" i="5"/>
  <c r="I339" i="5"/>
  <c r="H339" i="5"/>
  <c r="R339" i="5"/>
  <c r="F339" i="5"/>
  <c r="I258" i="5"/>
  <c r="H258" i="5"/>
  <c r="F258" i="5"/>
  <c r="X258" i="5"/>
  <c r="R258" i="5"/>
  <c r="J258" i="5"/>
  <c r="H234" i="5"/>
  <c r="R234" i="5"/>
  <c r="J234" i="5"/>
  <c r="I234" i="5"/>
  <c r="F234" i="5"/>
  <c r="X234" i="5"/>
  <c r="F195" i="5"/>
  <c r="R195" i="5"/>
  <c r="J195" i="5"/>
  <c r="I195" i="5"/>
  <c r="X195" i="5"/>
  <c r="H195" i="5"/>
  <c r="H220" i="5"/>
  <c r="F220" i="5"/>
  <c r="J220" i="5"/>
  <c r="I220" i="5"/>
  <c r="X220" i="5"/>
  <c r="R220" i="5"/>
  <c r="H204" i="5"/>
  <c r="F204" i="5"/>
  <c r="J204" i="5"/>
  <c r="I204" i="5"/>
  <c r="X204" i="5"/>
  <c r="R204" i="5"/>
  <c r="X118" i="5"/>
  <c r="R118" i="5"/>
  <c r="J118" i="5"/>
  <c r="H118" i="5"/>
  <c r="I118" i="5"/>
  <c r="F118" i="5"/>
  <c r="J227" i="5"/>
  <c r="I227" i="5"/>
  <c r="R227" i="5"/>
  <c r="H227" i="5"/>
  <c r="F227" i="5"/>
  <c r="X227" i="5"/>
  <c r="R47" i="5"/>
  <c r="X61" i="5"/>
  <c r="X42" i="5"/>
  <c r="X54" i="5"/>
  <c r="X51" i="5"/>
  <c r="X55" i="5"/>
  <c r="X41" i="5"/>
  <c r="X62" i="5"/>
  <c r="X50" i="5"/>
  <c r="X64" i="5"/>
  <c r="X10" i="5"/>
  <c r="X72" i="5"/>
  <c r="X31" i="5"/>
  <c r="X26" i="5"/>
  <c r="X32" i="5"/>
  <c r="X33" i="5"/>
  <c r="X77" i="5"/>
  <c r="X59" i="5"/>
  <c r="X38" i="5"/>
  <c r="X24" i="5"/>
  <c r="X47" i="5"/>
  <c r="X74" i="5"/>
  <c r="X30" i="5"/>
  <c r="X69" i="5"/>
  <c r="X44" i="5"/>
  <c r="X36" i="5"/>
  <c r="X27" i="5"/>
  <c r="X66" i="5"/>
  <c r="X25" i="5"/>
  <c r="H39" i="6"/>
  <c r="D39" i="6"/>
  <c r="H26" i="6"/>
  <c r="H24" i="6"/>
  <c r="C24" i="6"/>
  <c r="H35" i="6"/>
  <c r="D35" i="6"/>
  <c r="H40" i="6"/>
  <c r="D40" i="6"/>
  <c r="H46" i="6"/>
  <c r="D46" i="6"/>
  <c r="H31" i="6"/>
  <c r="C31" i="6"/>
  <c r="C29" i="6"/>
  <c r="D29" i="6"/>
  <c r="H30" i="6"/>
  <c r="C69" i="6"/>
  <c r="H49" i="6"/>
  <c r="D49" i="6"/>
  <c r="H34" i="6"/>
  <c r="H32" i="6"/>
  <c r="C45" i="6"/>
  <c r="C51" i="6"/>
  <c r="D19" i="6"/>
  <c r="C19" i="6"/>
  <c r="K65" i="6"/>
  <c r="D24" i="6"/>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G68" i="6"/>
  <c r="H68" i="6"/>
  <c r="D68" i="6"/>
  <c r="C39" i="6"/>
  <c r="C35" i="6"/>
  <c r="C46" i="6"/>
  <c r="C34" i="6"/>
  <c r="D34" i="6"/>
  <c r="D31" i="6"/>
  <c r="C30" i="6"/>
  <c r="D30" i="6"/>
  <c r="C32" i="6"/>
  <c r="D32" i="6"/>
  <c r="G66" i="6"/>
  <c r="H66" i="6"/>
  <c r="C66" i="6"/>
  <c r="G67" i="6"/>
  <c r="H67" i="6"/>
  <c r="D67" i="6"/>
  <c r="G65" i="6"/>
  <c r="H65" i="6"/>
  <c r="C65" i="6"/>
  <c r="C49" i="6"/>
  <c r="C47" i="6"/>
  <c r="C60" i="6"/>
  <c r="D60" i="6"/>
  <c r="D58" i="6"/>
  <c r="C58" i="6"/>
  <c r="D63" i="6"/>
  <c r="C63" i="6"/>
  <c r="C62" i="6"/>
  <c r="D62" i="6"/>
  <c r="C54" i="6"/>
  <c r="D54" i="6"/>
  <c r="D57" i="6"/>
  <c r="C57" i="6"/>
  <c r="F56" i="6"/>
  <c r="H56" i="6"/>
  <c r="H55" i="6"/>
  <c r="D59" i="6"/>
  <c r="C59" i="6"/>
  <c r="C68" i="6"/>
  <c r="D65" i="6"/>
  <c r="D66" i="6"/>
  <c r="C67" i="6"/>
  <c r="H69" i="6"/>
  <c r="H70" i="6"/>
  <c r="D2" i="6"/>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<sst xmlns="http://schemas.openxmlformats.org/spreadsheetml/2006/main" count="23342" uniqueCount="15888">
  <si>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</si>
  <si>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</si>
  <si>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</si>
  <si>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</si>
  <si>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</si>
  <si>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</si>
  <si>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</si>
  <si>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</si>
  <si>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</si>
  <si>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</si>
  <si>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</si>
  <si>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</si>
  <si>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</si>
  <si>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</si>
  <si>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</si>
  <si>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</si>
  <si>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</si>
  <si>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</si>
  <si>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</si>
  <si>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</si>
  <si>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</si>
  <si>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</si>
  <si>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</si>
  <si>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</si>
  <si>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</si>
  <si>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</si>
  <si>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</si>
  <si>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</si>
  <si>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</si>
  <si>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</si>
  <si>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</si>
  <si>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</si>
  <si>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</si>
  <si>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</si>
  <si>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</si>
  <si>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</si>
  <si>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</si>
  <si>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</si>
  <si>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</si>
  <si>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</si>
  <si>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</si>
  <si>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</si>
  <si>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</si>
  <si>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</si>
  <si>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</si>
  <si>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</si>
  <si>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</si>
  <si>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</si>
  <si>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</si>
  <si>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</si>
  <si>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</si>
  <si>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</si>
  <si>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</si>
  <si>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</si>
  <si>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</si>
  <si>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</si>
  <si>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</si>
  <si>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</si>
  <si>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</si>
  <si>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</si>
  <si>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</si>
  <si>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</si>
  <si>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</si>
  <si>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</si>
  <si>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</si>
  <si>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</si>
  <si>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</si>
  <si>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</si>
  <si>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</si>
  <si>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</si>
  <si>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</si>
  <si>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</si>
  <si>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</si>
  <si>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</si>
  <si>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</si>
  <si>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</si>
  <si>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</si>
  <si>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</si>
  <si>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</si>
  <si>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</si>
  <si>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</si>
  <si>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</si>
  <si>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</si>
  <si>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</si>
  <si>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</si>
  <si>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</si>
  <si>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</si>
  <si>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</si>
  <si>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</si>
  <si>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</si>
  <si>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</si>
  <si>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</si>
  <si>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</si>
  <si>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</si>
  <si>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</si>
  <si>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</si>
  <si>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</si>
  <si>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</si>
  <si>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</si>
  <si>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</si>
  <si>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</si>
  <si>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</si>
  <si>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</si>
  <si>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</si>
  <si>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</si>
  <si>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</si>
  <si>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</si>
  <si>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</si>
  <si>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</si>
  <si>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</si>
  <si>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</si>
  <si>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</si>
  <si>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</si>
  <si>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</si>
  <si>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</si>
  <si>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</si>
  <si>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</si>
  <si>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</si>
  <si>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</si>
  <si>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</si>
  <si>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</si>
  <si>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</si>
  <si>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</si>
  <si>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</si>
  <si>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</si>
  <si>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</si>
  <si>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</si>
  <si>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</si>
  <si>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</si>
  <si>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</si>
  <si>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</si>
  <si>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</si>
  <si>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</si>
  <si>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</si>
  <si>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</si>
  <si>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</si>
  <si>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</si>
  <si>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</si>
  <si>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</si>
  <si>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</si>
  <si>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</si>
  <si>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</si>
  <si>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</si>
  <si>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</si>
  <si>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</si>
  <si>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</si>
  <si>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</si>
  <si>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</si>
  <si>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</si>
  <si>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</si>
  <si>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</si>
  <si>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</si>
  <si>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</si>
  <si>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</si>
  <si>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</si>
  <si>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</si>
  <si>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</si>
  <si>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</si>
  <si>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</si>
  <si>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</si>
  <si>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</si>
  <si>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</si>
  <si>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</si>
  <si>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</si>
  <si>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</si>
  <si>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</si>
  <si>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</si>
  <si>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</si>
  <si>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</si>
  <si>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</si>
  <si>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</si>
  <si>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</si>
  <si>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</si>
  <si>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</si>
  <si>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</si>
  <si>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</si>
  <si>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</si>
  <si>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</si>
  <si>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</si>
  <si>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</si>
  <si>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</si>
  <si>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</si>
  <si>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</si>
  <si>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</si>
  <si>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</si>
  <si>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</si>
  <si>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</si>
  <si>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</si>
  <si>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</si>
  <si>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</si>
  <si>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</si>
  <si>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</si>
  <si>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</si>
  <si>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</si>
  <si>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</si>
  <si>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</si>
  <si>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</si>
  <si>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</si>
  <si>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</si>
  <si>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</si>
  <si>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</si>
  <si>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</si>
  <si>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</si>
  <si>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</si>
  <si>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</si>
  <si>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</si>
  <si>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</si>
  <si>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</si>
  <si>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</si>
  <si>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</si>
  <si>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</si>
  <si>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</si>
  <si>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</si>
  <si>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</si>
  <si>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</si>
  <si>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</si>
  <si>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</si>
  <si>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</si>
  <si>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</si>
  <si>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</si>
  <si>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</si>
  <si>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</si>
  <si>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</si>
  <si>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</si>
  <si>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</si>
  <si>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</si>
  <si>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</si>
  <si>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</si>
  <si>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</si>
  <si>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</si>
  <si>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</si>
  <si>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</si>
  <si>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</si>
  <si>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</si>
  <si>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</si>
  <si>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</si>
  <si>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</si>
  <si>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</si>
  <si>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</si>
  <si>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</si>
  <si>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</si>
  <si>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</si>
  <si>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</si>
  <si>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</si>
  <si>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</si>
  <si>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</si>
  <si>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</si>
  <si>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</si>
  <si>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</si>
  <si>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</si>
  <si>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</si>
  <si>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</si>
  <si>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</si>
  <si>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</si>
  <si>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</si>
  <si>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</si>
  <si>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</si>
  <si>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</si>
  <si>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</si>
  <si>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</si>
  <si>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</si>
  <si>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</si>
  <si>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</si>
  <si>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</si>
  <si>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</si>
  <si>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</si>
  <si>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</si>
  <si>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</si>
  <si>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</si>
  <si>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</si>
  <si>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</si>
  <si>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</si>
  <si>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</si>
  <si>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</si>
  <si>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</si>
  <si>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</si>
  <si>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</si>
  <si>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</si>
  <si>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</si>
  <si>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</si>
  <si>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</si>
  <si>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</si>
  <si>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</si>
  <si>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</si>
  <si>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</si>
  <si>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</si>
  <si>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</si>
  <si>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</si>
  <si>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</si>
  <si>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</si>
  <si>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</si>
  <si>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</si>
  <si>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</si>
  <si>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</si>
  <si>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</si>
  <si>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</si>
  <si>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</si>
  <si>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</si>
  <si>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</si>
  <si>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</si>
  <si>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</si>
  <si>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</si>
  <si>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</si>
  <si>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</si>
  <si>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</si>
  <si>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</si>
  <si>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</si>
  <si>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</si>
  <si>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</si>
  <si>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</si>
  <si>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</si>
  <si>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</si>
  <si>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</si>
  <si>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</si>
  <si>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</si>
  <si>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</si>
  <si>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</si>
  <si>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</si>
  <si>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</si>
  <si>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</si>
  <si>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</si>
  <si>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</si>
  <si>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</si>
  <si>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</si>
  <si>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</si>
  <si>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</si>
  <si>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</si>
  <si>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</si>
  <si>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</si>
  <si>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</si>
  <si>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</si>
  <si>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</si>
  <si>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</si>
  <si>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</si>
  <si>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</si>
  <si>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</si>
  <si>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</si>
  <si>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</si>
  <si>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</si>
  <si>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</si>
  <si>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</si>
  <si>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</si>
  <si>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</si>
  <si>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</si>
  <si>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</si>
  <si>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</si>
  <si>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</si>
  <si>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</si>
  <si>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</si>
  <si>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</si>
  <si>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</si>
  <si>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</si>
  <si>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</si>
  <si>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</si>
  <si>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</si>
  <si>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</si>
  <si>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</si>
  <si>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</si>
  <si>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</si>
  <si>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</si>
  <si>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</si>
  <si>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</si>
  <si>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</si>
  <si>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</si>
  <si>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</si>
  <si>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</si>
  <si>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</si>
  <si>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</si>
  <si>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</si>
  <si>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</si>
  <si>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</si>
  <si>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</si>
  <si>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</si>
  <si>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</si>
  <si>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</si>
  <si>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</si>
  <si>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</si>
  <si>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</si>
  <si>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</si>
  <si>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</si>
  <si>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</si>
  <si>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</si>
  <si>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</si>
  <si>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</si>
  <si>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</si>
  <si>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</si>
  <si>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</si>
  <si>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</si>
  <si>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</si>
  <si>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</si>
  <si>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</si>
  <si>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</si>
  <si>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</si>
  <si>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</si>
  <si>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</si>
  <si>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</si>
  <si>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</si>
  <si>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</si>
  <si>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</si>
  <si>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</si>
  <si>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</si>
  <si>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</si>
  <si>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</si>
  <si>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</si>
  <si>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</si>
  <si>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</si>
  <si>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</si>
  <si>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</si>
  <si>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</si>
  <si>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</si>
  <si>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</si>
  <si>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</si>
  <si>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</si>
  <si>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</si>
  <si>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</si>
  <si>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</si>
  <si>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</si>
  <si>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</si>
  <si>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</si>
  <si>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</si>
  <si>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</si>
  <si>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</si>
  <si>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</si>
  <si>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</si>
  <si>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</si>
  <si>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</si>
  <si>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</si>
  <si>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</si>
  <si>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</si>
  <si>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</si>
  <si>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</si>
  <si>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</si>
  <si>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</si>
  <si>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</si>
  <si>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</si>
  <si>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</si>
  <si>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</si>
  <si>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</si>
  <si>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</si>
  <si>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</si>
  <si>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</si>
  <si>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</si>
  <si>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</si>
  <si>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</si>
  <si>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</si>
  <si>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</si>
  <si>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</si>
  <si>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</si>
  <si>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</si>
  <si>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</si>
  <si>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</si>
  <si>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</si>
  <si>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</si>
  <si>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</si>
  <si>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</si>
  <si>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</si>
  <si>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</si>
  <si>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</si>
  <si>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</si>
  <si>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</si>
  <si>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</si>
  <si>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</si>
  <si>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</si>
  <si>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</si>
  <si>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</si>
  <si>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</si>
  <si>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</si>
  <si>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</si>
  <si>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</si>
  <si>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</si>
  <si>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</si>
  <si>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</si>
  <si>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</si>
  <si>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</si>
  <si>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</si>
  <si>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</si>
  <si>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</si>
  <si>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</si>
  <si>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</si>
  <si>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</si>
  <si>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</si>
  <si>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</si>
  <si>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</si>
  <si>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</si>
  <si>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</si>
  <si>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</si>
  <si>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</si>
  <si>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</si>
  <si>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</si>
  <si>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</si>
  <si>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</si>
  <si>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</si>
  <si>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</si>
  <si>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</si>
  <si>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</si>
  <si>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</si>
  <si>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</si>
  <si>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</si>
  <si>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</si>
  <si>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</si>
  <si>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</si>
  <si>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</si>
  <si>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</si>
  <si>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</si>
  <si>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</si>
  <si>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</si>
  <si>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</si>
  <si>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</si>
  <si>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</si>
  <si>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</si>
  <si>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</si>
  <si>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</si>
  <si>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</si>
  <si>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</si>
  <si>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</si>
  <si>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</si>
  <si>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</si>
  <si>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</si>
  <si>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</si>
  <si>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</si>
  <si>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</si>
  <si>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</si>
  <si>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</si>
  <si>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</si>
  <si>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</si>
  <si>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</si>
  <si>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</si>
  <si>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</si>
  <si>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</si>
  <si>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</si>
  <si>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</si>
  <si>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</si>
  <si>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</si>
  <si>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</si>
  <si>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</si>
  <si>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</si>
  <si>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</si>
  <si>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</si>
  <si>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</si>
  <si>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</si>
  <si>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</si>
  <si>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</si>
  <si>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</si>
  <si>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</si>
  <si>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</si>
  <si>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</si>
  <si>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</si>
  <si>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</si>
  <si>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</si>
  <si>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</si>
  <si>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</si>
  <si>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</si>
  <si>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</si>
  <si>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</si>
  <si>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</si>
  <si>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</si>
  <si>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</si>
  <si>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</si>
  <si>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</si>
  <si>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</si>
  <si>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</si>
  <si>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</si>
  <si>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</si>
  <si>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</si>
  <si>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</si>
  <si>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</si>
  <si>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</si>
  <si>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</si>
  <si>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</si>
  <si>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</si>
  <si>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</si>
  <si>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</si>
  <si>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</si>
  <si>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</si>
  <si>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</si>
  <si>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</si>
  <si>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</si>
  <si>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</si>
  <si>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</si>
  <si>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</si>
  <si>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</si>
  <si>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</si>
  <si>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</si>
  <si>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</si>
  <si>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</si>
  <si>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</si>
  <si>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</si>
  <si>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</si>
  <si>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</si>
  <si>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</si>
  <si>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</si>
  <si>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</si>
  <si>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</si>
  <si>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</si>
  <si>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</si>
  <si>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</si>
  <si>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</si>
  <si>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</si>
  <si>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</si>
  <si>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</si>
  <si>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</si>
  <si>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</si>
  <si>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</si>
  <si>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</si>
  <si>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</si>
  <si>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</si>
  <si>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</si>
  <si>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</si>
  <si>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</si>
  <si>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</si>
  <si>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</si>
  <si>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</si>
  <si>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</si>
  <si>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</si>
  <si>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</si>
  <si>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</si>
  <si>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</si>
  <si>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</si>
  <si>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</si>
  <si>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</si>
  <si>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</si>
  <si>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</si>
  <si>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</si>
  <si>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</si>
  <si>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</si>
  <si>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</si>
  <si>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</si>
  <si>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</si>
  <si>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</si>
  <si>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</si>
  <si>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</si>
  <si>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</si>
  <si>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</si>
  <si>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</si>
  <si>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</si>
  <si>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</si>
  <si>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</si>
  <si>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</si>
  <si>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</si>
  <si>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</si>
  <si>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</si>
  <si>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</si>
  <si>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</si>
  <si>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</si>
  <si>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</si>
  <si>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</si>
  <si>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</si>
  <si>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</si>
  <si>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</si>
  <si>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</si>
  <si>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</si>
  <si>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</si>
  <si>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</si>
  <si>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</si>
  <si>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</si>
  <si>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</si>
  <si>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</si>
  <si>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</si>
  <si>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</si>
  <si>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</si>
  <si>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</si>
  <si>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</si>
  <si>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</si>
  <si>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</si>
  <si>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</si>
  <si>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</si>
  <si>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</si>
  <si>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</si>
  <si>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</si>
  <si>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</si>
  <si>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</si>
  <si>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</si>
  <si>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</si>
  <si>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</si>
  <si>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</si>
  <si>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</si>
  <si>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</si>
  <si>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</si>
  <si>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</si>
  <si>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</si>
  <si>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</si>
  <si>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</si>
  <si>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</si>
  <si>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</si>
  <si>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</si>
  <si>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</si>
  <si>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</si>
  <si>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</si>
  <si>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</si>
  <si>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</si>
  <si>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</si>
  <si>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</si>
  <si>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</si>
  <si>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</si>
  <si>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</si>
  <si>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</si>
  <si>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</si>
  <si>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</si>
  <si>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</si>
  <si>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</si>
  <si>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</si>
  <si>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</si>
  <si>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</si>
  <si>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</si>
  <si>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</si>
  <si>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</si>
  <si>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</si>
  <si>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</si>
  <si>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</si>
  <si>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</si>
  <si>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</si>
  <si>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</si>
  <si>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</si>
  <si>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</si>
  <si>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</si>
  <si>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</si>
  <si>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</si>
  <si>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</si>
  <si>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</si>
  <si>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</si>
  <si>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</si>
  <si>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</si>
  <si>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</si>
  <si>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</si>
  <si>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</si>
  <si>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</si>
  <si>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</si>
  <si>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</si>
  <si>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</si>
  <si>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</si>
  <si>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</si>
  <si>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</si>
  <si>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</si>
  <si>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</si>
  <si>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</si>
  <si>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</si>
  <si>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</si>
  <si>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</si>
  <si>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</si>
  <si>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</si>
  <si>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</si>
  <si>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</si>
  <si>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</si>
  <si>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</si>
  <si>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</si>
  <si>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</si>
  <si>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</si>
  <si>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</si>
  <si>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</si>
  <si>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</si>
  <si>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</si>
  <si>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</si>
  <si>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</si>
  <si>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</si>
  <si>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</si>
  <si>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</si>
  <si>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</si>
  <si>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</si>
  <si>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</si>
  <si>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</si>
  <si>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</si>
  <si>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</si>
  <si>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</si>
  <si>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</si>
  <si>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</si>
  <si>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</si>
  <si>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</si>
  <si>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</si>
  <si>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</si>
  <si>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</si>
  <si>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</si>
  <si>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</si>
  <si>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</si>
  <si>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</si>
  <si>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</si>
  <si>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</si>
  <si>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</si>
  <si>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</si>
  <si>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</si>
  <si>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</si>
  <si>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</si>
  <si>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</si>
  <si>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</si>
  <si>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</si>
  <si>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</si>
  <si>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</si>
  <si>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</si>
  <si>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</si>
  <si>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</si>
  <si>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</si>
  <si>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</si>
  <si>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</si>
  <si>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</si>
  <si>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</si>
  <si>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</si>
  <si>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</si>
  <si>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</si>
  <si>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</si>
  <si>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</si>
  <si>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</si>
  <si>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</si>
  <si>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</si>
  <si>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</si>
  <si>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</si>
  <si>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</si>
  <si>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</si>
  <si>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</si>
  <si>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</si>
  <si>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</si>
  <si>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</si>
  <si>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</si>
  <si>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</si>
  <si>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</si>
  <si>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</si>
  <si>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</si>
  <si>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</si>
  <si>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</si>
  <si>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</si>
  <si>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</si>
  <si>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</si>
  <si>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</si>
  <si>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</si>
  <si>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</si>
  <si>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</si>
  <si>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</si>
  <si>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</si>
  <si>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</si>
  <si>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</si>
  <si>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</si>
  <si>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</si>
  <si>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</si>
  <si>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</si>
  <si>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</si>
  <si>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</si>
  <si>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</si>
  <si>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</si>
  <si>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</si>
  <si>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</si>
  <si>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</si>
  <si>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</si>
  <si>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</si>
  <si>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</si>
  <si>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</si>
  <si>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</si>
  <si>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</si>
  <si>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</si>
  <si>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</si>
  <si>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</si>
  <si>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</si>
  <si>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</si>
  <si>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</si>
  <si>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</si>
  <si>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</si>
  <si>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</si>
  <si>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</si>
  <si>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</si>
  <si>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</si>
  <si>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</si>
  <si>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</si>
  <si>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</si>
  <si>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</si>
  <si>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</si>
  <si>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</si>
  <si>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</si>
  <si>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</si>
  <si>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</si>
  <si>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</si>
  <si>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</si>
  <si>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</si>
  <si>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</si>
  <si>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</si>
  <si>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</si>
  <si>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</si>
  <si>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</si>
  <si>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</si>
  <si>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</si>
  <si>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</si>
  <si>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</si>
  <si>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</si>
  <si>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</si>
  <si>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</si>
  <si>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</si>
  <si>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</si>
  <si>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</si>
  <si>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</si>
  <si>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</si>
  <si>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</si>
  <si>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</si>
  <si>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</si>
  <si>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</si>
  <si>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</si>
  <si>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</si>
  <si>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</si>
  <si>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</si>
  <si>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</si>
  <si>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</si>
  <si>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</si>
  <si>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</si>
  <si>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</si>
  <si>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</si>
  <si>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</si>
  <si>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</si>
  <si>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</si>
  <si>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</si>
  <si>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</si>
  <si>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</si>
  <si>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</si>
  <si>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</si>
  <si>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</si>
  <si>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</si>
  <si>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</si>
  <si>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</si>
  <si>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</si>
  <si>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</si>
  <si>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</si>
  <si>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</si>
  <si>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</si>
  <si>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</si>
  <si>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</si>
  <si>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</si>
  <si>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</si>
  <si>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</si>
  <si>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</si>
  <si>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</si>
  <si>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</si>
  <si>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</si>
  <si>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</si>
  <si>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</si>
  <si>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</si>
  <si>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</si>
  <si>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</si>
  <si>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</si>
  <si>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</si>
  <si>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</si>
  <si>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</si>
  <si>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</si>
  <si>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</si>
  <si>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</si>
  <si>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</si>
  <si>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</si>
  <si>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</si>
  <si>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</si>
  <si>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</si>
  <si>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</si>
  <si>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</si>
  <si>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</si>
  <si>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</si>
  <si>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</si>
  <si>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</si>
  <si>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</si>
  <si>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</si>
  <si>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</si>
  <si>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</si>
  <si>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</si>
  <si>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</si>
  <si>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</si>
  <si>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</si>
  <si>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</si>
  <si>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</si>
  <si>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</si>
  <si>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</si>
  <si>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</si>
  <si>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</si>
  <si>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</si>
  <si>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</si>
  <si>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</si>
  <si>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</si>
  <si>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</si>
  <si>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</si>
  <si>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</si>
  <si>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</si>
  <si>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</si>
  <si>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</si>
  <si>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</si>
  <si>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</si>
  <si>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</si>
  <si>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</si>
  <si>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</si>
  <si>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</si>
  <si>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</si>
  <si>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</si>
  <si>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</si>
  <si>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</si>
  <si>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</si>
  <si>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</si>
  <si>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</si>
  <si>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</si>
  <si>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</si>
  <si>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</si>
  <si>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</si>
  <si>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</si>
  <si>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</si>
  <si>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</si>
  <si>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</si>
  <si>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</si>
  <si>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</si>
  <si>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</si>
  <si>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</si>
  <si>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</si>
  <si>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</si>
  <si>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</si>
  <si>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</si>
  <si>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</si>
  <si>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</si>
  <si>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</si>
  <si>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</si>
  <si>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</si>
  <si>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</si>
  <si>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</si>
  <si>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</si>
  <si>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</si>
  <si>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</si>
  <si>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</si>
  <si>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</si>
  <si>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</si>
  <si>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</si>
  <si>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</si>
  <si>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</si>
  <si>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</si>
  <si>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</si>
  <si>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</si>
  <si>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</si>
  <si>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</si>
  <si>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</si>
  <si>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</si>
  <si>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</si>
  <si>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</si>
  <si>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</si>
  <si>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</si>
  <si>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</si>
  <si>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</si>
  <si>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</si>
  <si>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</si>
  <si>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</si>
  <si>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</si>
  <si>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</si>
  <si>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</si>
  <si>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</si>
  <si>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</si>
  <si>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</si>
  <si>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</si>
  <si>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</si>
  <si>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</si>
  <si>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</si>
  <si>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</si>
  <si>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</si>
  <si>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</si>
  <si>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</si>
  <si>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</si>
  <si>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</si>
  <si>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</si>
  <si>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</si>
  <si>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</si>
  <si>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</si>
  <si>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</si>
  <si>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</si>
  <si>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</si>
  <si>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</si>
  <si>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</si>
  <si>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</si>
  <si>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</si>
  <si>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</si>
  <si>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</si>
  <si>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</si>
  <si>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</si>
  <si>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</si>
  <si>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</si>
  <si>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</si>
  <si>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</si>
  <si>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</si>
  <si>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</si>
  <si>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</si>
  <si>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</si>
  <si>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</si>
  <si>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</si>
  <si>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</si>
  <si>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</si>
  <si>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</si>
  <si>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</si>
  <si>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</si>
  <si>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</si>
  <si>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</si>
  <si>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</si>
  <si>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</si>
  <si>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</si>
  <si>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</si>
  <si>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</si>
  <si>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</si>
  <si>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</si>
  <si>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</si>
  <si>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</si>
  <si>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</si>
  <si>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</si>
  <si>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</si>
  <si>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</si>
  <si>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</si>
  <si>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</si>
  <si>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</si>
  <si>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</si>
  <si>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</si>
  <si>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</si>
  <si>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</si>
  <si>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</si>
  <si>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</si>
  <si>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</si>
  <si>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</si>
  <si>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</si>
  <si>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</si>
  <si>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</si>
  <si>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</si>
  <si>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</si>
  <si>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</si>
  <si>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</si>
  <si>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</si>
  <si>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</si>
  <si>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</si>
  <si>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</si>
  <si>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</si>
  <si>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</si>
  <si>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</si>
  <si>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</si>
  <si>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</si>
  <si>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</si>
  <si>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</si>
  <si>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</si>
  <si>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</si>
  <si>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</si>
  <si>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</si>
  <si>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</si>
  <si>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</si>
  <si>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</si>
  <si>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</si>
  <si>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</si>
  <si>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</si>
  <si>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</si>
  <si>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</si>
  <si>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</si>
  <si>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</si>
  <si>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</si>
  <si>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</si>
  <si>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</si>
  <si>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</si>
  <si>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</si>
  <si>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</si>
  <si>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</si>
  <si>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</si>
  <si>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</si>
  <si>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</si>
  <si>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</si>
  <si>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</si>
  <si>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</si>
  <si>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</si>
  <si>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</si>
  <si>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</si>
  <si>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</si>
  <si>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</si>
  <si>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</si>
  <si>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</si>
  <si>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</si>
  <si>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</si>
  <si>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</si>
  <si>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</si>
  <si>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</si>
  <si>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</si>
  <si>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</si>
  <si>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</si>
  <si>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</si>
  <si>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</si>
  <si>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</si>
  <si>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</si>
  <si>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</si>
  <si>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</si>
  <si>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</si>
  <si>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</si>
  <si>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</si>
  <si>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</si>
  <si>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</si>
  <si>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</si>
  <si>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</si>
  <si>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</si>
  <si>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</si>
  <si>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</si>
  <si>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</si>
  <si>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</si>
  <si>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</si>
  <si>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</si>
  <si>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</si>
  <si>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</si>
  <si>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</si>
  <si>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</si>
  <si>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</si>
  <si>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</si>
  <si>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</si>
  <si>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</si>
  <si>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</si>
  <si>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</si>
  <si>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</si>
  <si>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</si>
  <si>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</si>
  <si>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</si>
  <si>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</si>
  <si>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</si>
  <si>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</si>
  <si>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</si>
  <si>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</si>
  <si>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</si>
  <si>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</si>
  <si>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</si>
  <si>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</si>
  <si>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</si>
  <si>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</si>
  <si>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</si>
  <si>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</si>
  <si>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</si>
  <si>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</si>
  <si>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</si>
  <si>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</si>
  <si>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</si>
  <si>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</si>
  <si>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</si>
  <si>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</si>
  <si>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</si>
  <si>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</si>
  <si>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</si>
  <si>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</si>
  <si>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</si>
  <si>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</si>
  <si>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</si>
  <si>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</si>
  <si>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</si>
  <si>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</si>
  <si>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</si>
  <si>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</si>
  <si>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</si>
  <si>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</si>
  <si>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</si>
  <si>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</si>
  <si>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</si>
  <si>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</si>
  <si>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</si>
  <si>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</si>
  <si>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</si>
  <si>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</si>
  <si>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</si>
  <si>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</si>
  <si>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</si>
  <si>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</si>
  <si>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</si>
  <si>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</si>
  <si>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</si>
  <si>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</si>
  <si>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</si>
  <si>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</si>
  <si>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</si>
  <si>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</si>
  <si>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</si>
  <si>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</si>
  <si>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</si>
  <si>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</si>
  <si>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</si>
  <si>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</si>
  <si>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</si>
  <si>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</si>
  <si>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</si>
  <si>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</si>
  <si>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</si>
  <si>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</si>
  <si>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</si>
  <si>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</si>
  <si>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</si>
  <si>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</si>
  <si>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</si>
  <si>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</si>
  <si>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</si>
  <si>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</si>
  <si>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</si>
  <si>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</si>
  <si>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</si>
  <si>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</si>
  <si>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</si>
  <si>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</si>
  <si>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</si>
  <si>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</si>
  <si>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</si>
  <si>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</si>
  <si>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</si>
  <si>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</si>
  <si>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</si>
  <si>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</si>
  <si>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</si>
  <si>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</si>
  <si>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</si>
  <si>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</si>
  <si>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</si>
  <si>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</si>
  <si>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</si>
  <si>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</si>
  <si>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</si>
  <si>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</si>
  <si>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</si>
  <si>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</si>
  <si>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</si>
  <si>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</si>
  <si>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</si>
  <si>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</si>
  <si>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</si>
  <si>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</si>
  <si>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</si>
  <si>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</si>
  <si>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</si>
  <si>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</si>
  <si>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</si>
  <si>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</si>
  <si>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</si>
  <si>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</si>
  <si>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</si>
  <si>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</si>
  <si>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</si>
  <si>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</si>
  <si>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</si>
  <si>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</si>
  <si>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</si>
  <si>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</si>
  <si>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</si>
  <si>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</si>
  <si>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</si>
  <si>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</si>
  <si>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</si>
  <si>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</si>
  <si>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</si>
  <si>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</si>
  <si>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</si>
  <si>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</si>
  <si>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</si>
  <si>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</si>
  <si>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</si>
  <si>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</si>
  <si>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</si>
  <si>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</si>
  <si>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</si>
  <si>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</si>
  <si>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</si>
  <si>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</si>
  <si>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</si>
  <si>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</si>
  <si>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</si>
  <si>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</si>
  <si>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</si>
  <si>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</si>
  <si>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</si>
  <si>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</si>
  <si>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</si>
  <si>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</si>
  <si>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</si>
  <si>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</si>
  <si>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</si>
  <si>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</si>
  <si>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</si>
  <si>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</si>
  <si>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</si>
  <si>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</si>
  <si>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</si>
  <si>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</si>
  <si>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</si>
  <si>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</si>
  <si>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</si>
  <si>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</si>
  <si>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</si>
  <si>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</si>
  <si>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</si>
  <si>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</si>
  <si>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</si>
  <si>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</si>
  <si>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</si>
  <si>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</si>
  <si>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</si>
  <si>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</si>
  <si>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</si>
  <si>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</si>
  <si>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</si>
  <si>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</si>
  <si>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</si>
  <si>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</si>
  <si>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</si>
  <si>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</si>
  <si>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</si>
  <si>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</si>
  <si>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</si>
  <si>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</si>
  <si>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</si>
  <si>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</si>
  <si>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</si>
  <si>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</si>
  <si>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</si>
  <si>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</si>
  <si>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</si>
  <si>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</si>
  <si>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</si>
  <si>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</si>
  <si>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</si>
  <si>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</si>
  <si>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</si>
  <si>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</si>
  <si>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</si>
  <si>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</si>
  <si>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</si>
  <si>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</si>
  <si>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</si>
  <si>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</si>
  <si>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</si>
  <si>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</si>
  <si>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</si>
  <si>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</si>
  <si>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</si>
  <si>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</si>
  <si>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</si>
  <si>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</si>
  <si>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</si>
  <si>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</si>
  <si>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</si>
  <si>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</si>
  <si>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</si>
  <si>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</si>
  <si>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</si>
  <si>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</si>
  <si>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</si>
  <si>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</si>
  <si>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</si>
  <si>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</si>
  <si>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</si>
  <si>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</si>
  <si>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</si>
  <si>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</si>
  <si>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</si>
  <si>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</si>
  <si>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</si>
  <si>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</si>
  <si>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</si>
  <si>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</si>
  <si>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</si>
  <si>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</si>
  <si>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</si>
  <si>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</si>
  <si>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</si>
  <si>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</si>
  <si>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</si>
  <si>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</si>
  <si>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</si>
  <si>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</si>
  <si>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</si>
  <si>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</si>
  <si>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</si>
  <si>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</si>
  <si>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</si>
  <si>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</si>
  <si>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</si>
  <si>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</si>
  <si>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</si>
  <si>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</si>
  <si>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</si>
  <si>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</si>
  <si>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</si>
  <si>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</si>
  <si>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</si>
  <si>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</si>
  <si>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</si>
  <si>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</si>
  <si>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</si>
  <si>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</si>
  <si>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</si>
  <si>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</si>
  <si>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</si>
  <si>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</si>
  <si>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</si>
  <si>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</si>
  <si>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</si>
  <si>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</si>
  <si>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</si>
  <si>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</si>
  <si>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</si>
  <si>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</si>
  <si>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</si>
  <si>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</si>
  <si>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</si>
  <si>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</si>
  <si>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</si>
  <si>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</si>
  <si>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</si>
  <si>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</si>
  <si>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</si>
  <si>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</si>
  <si>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</si>
  <si>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</si>
  <si>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</si>
  <si>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</si>
  <si>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</si>
  <si>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</si>
  <si>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</si>
  <si>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</si>
  <si>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</si>
  <si>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</si>
  <si>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</si>
  <si>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</si>
  <si>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</si>
  <si>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</si>
  <si>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</si>
  <si>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</si>
  <si>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</si>
  <si>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</si>
  <si>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</si>
  <si>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</si>
  <si>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</si>
  <si>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</si>
  <si>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</si>
  <si>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</si>
  <si>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</si>
  <si>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</si>
  <si>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</si>
  <si>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</si>
  <si>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</si>
  <si>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</si>
  <si>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</si>
  <si>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</si>
  <si>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</si>
  <si>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</si>
  <si>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</si>
  <si>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</si>
  <si>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</si>
  <si>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</si>
  <si>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</si>
  <si>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</si>
  <si>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</si>
  <si>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</si>
  <si>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</si>
  <si>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</si>
  <si>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</si>
  <si>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</si>
  <si>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</si>
  <si>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</si>
  <si>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</si>
  <si>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</si>
  <si>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</si>
  <si>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</si>
  <si>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</si>
  <si>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</si>
  <si>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</si>
  <si>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</si>
  <si>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</si>
  <si>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</si>
  <si>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</si>
  <si>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</si>
  <si>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</si>
  <si>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</si>
  <si>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</si>
  <si>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</si>
  <si>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</si>
  <si>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</si>
  <si>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</si>
  <si>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</si>
  <si>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</si>
  <si>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</si>
  <si>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</si>
  <si>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</si>
  <si>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</si>
  <si>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</si>
  <si>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</si>
  <si>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</si>
  <si>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</si>
  <si>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</si>
  <si>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</si>
  <si>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</si>
  <si>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</si>
  <si>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</si>
  <si>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</si>
  <si>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</si>
  <si>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</si>
  <si>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</si>
  <si>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</si>
  <si>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</si>
  <si>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</si>
  <si>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</si>
  <si>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</si>
  <si>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</si>
  <si>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</si>
  <si>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</si>
  <si>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</si>
  <si>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</si>
  <si>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</si>
  <si>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</si>
  <si>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</si>
  <si>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</si>
  <si>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</si>
  <si>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</si>
  <si>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</si>
  <si>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</si>
  <si>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</si>
  <si>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</si>
  <si>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</si>
  <si>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</si>
  <si>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</si>
  <si>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</si>
  <si>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</si>
  <si>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</si>
  <si>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</si>
  <si>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</si>
  <si>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</si>
  <si>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</si>
  <si>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</si>
  <si>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</si>
  <si>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</si>
  <si>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</si>
  <si>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</si>
  <si>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</si>
  <si>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</si>
  <si>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</si>
  <si>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</si>
  <si>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</si>
  <si>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</si>
  <si>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</si>
  <si>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</si>
  <si>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</si>
  <si>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</si>
  <si>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</si>
  <si>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</si>
  <si>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</si>
  <si>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</si>
  <si>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</si>
  <si>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</si>
  <si>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</si>
  <si>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</si>
  <si>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</si>
  <si>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</si>
  <si>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</si>
  <si>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</si>
  <si>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</si>
  <si>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</si>
  <si>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</si>
  <si>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</si>
  <si>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</si>
  <si>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</si>
  <si>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</si>
  <si>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</si>
  <si>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</si>
  <si>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</si>
  <si>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</si>
  <si>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</si>
  <si>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</si>
  <si>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</si>
  <si>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</si>
  <si>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</si>
  <si>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</si>
  <si>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</si>
  <si>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</si>
  <si>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</si>
  <si>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</si>
  <si>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</si>
  <si>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</si>
  <si>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</si>
  <si>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</si>
  <si>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</si>
  <si>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</si>
  <si>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</si>
  <si>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</si>
  <si>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</si>
  <si>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</si>
  <si>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</si>
  <si>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</si>
  <si>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</si>
  <si>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</si>
  <si>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</si>
  <si>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</si>
  <si>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</si>
  <si>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</si>
  <si>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</si>
  <si>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</si>
  <si>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</si>
  <si>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</si>
  <si>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</si>
  <si>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</si>
  <si>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</si>
  <si>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</si>
  <si>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</si>
  <si>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</si>
  <si>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</si>
  <si>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</si>
  <si>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</si>
  <si>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</si>
  <si>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</si>
  <si>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</si>
  <si>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</si>
  <si>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</si>
  <si>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</si>
  <si>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</si>
  <si>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</si>
  <si>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</si>
  <si>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</si>
  <si>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</si>
  <si>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</si>
  <si>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</si>
  <si>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</si>
  <si>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</si>
  <si>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</si>
  <si>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</si>
  <si>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</si>
  <si>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</si>
  <si>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</si>
  <si>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</si>
  <si>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</si>
  <si>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</si>
  <si>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</si>
  <si>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</si>
  <si>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</si>
  <si>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</si>
  <si>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</si>
  <si>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</si>
  <si>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</si>
  <si>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</si>
  <si>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</si>
  <si>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</si>
  <si>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</si>
  <si>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</si>
  <si>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</si>
  <si>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</si>
  <si>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</si>
  <si>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</si>
  <si>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</si>
  <si>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</si>
  <si>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</si>
  <si>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</si>
  <si>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</si>
  <si>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</si>
  <si>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</si>
  <si>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</si>
  <si>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</si>
  <si>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</si>
  <si>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</si>
  <si>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</si>
  <si>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</si>
  <si>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</si>
  <si>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</si>
  <si>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</si>
  <si>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</si>
  <si>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</si>
  <si>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</si>
  <si>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</si>
  <si>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</si>
  <si>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</si>
  <si>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</si>
  <si>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</si>
  <si>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</si>
  <si>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</si>
  <si>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</si>
  <si>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</si>
  <si>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</si>
  <si>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</si>
  <si>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</si>
  <si>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</si>
  <si>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</si>
  <si>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</si>
  <si>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</si>
  <si>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</si>
  <si>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</si>
  <si>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</si>
  <si>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</si>
  <si>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</si>
  <si>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</si>
  <si>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</si>
  <si>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</si>
  <si>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</si>
  <si>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</si>
  <si>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</si>
  <si>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</si>
  <si>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</si>
  <si>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</si>
  <si>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</si>
  <si>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</si>
  <si>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</si>
  <si>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</si>
  <si>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</si>
  <si>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</si>
  <si>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</si>
  <si>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</si>
  <si>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</si>
  <si>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</si>
  <si>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</si>
  <si>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</si>
  <si>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</si>
  <si>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</si>
  <si>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</si>
  <si>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</si>
  <si>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</si>
  <si>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</si>
  <si>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</si>
  <si>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</si>
  <si>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</si>
  <si>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</si>
  <si>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</si>
  <si>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</si>
  <si>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</si>
  <si>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</si>
  <si>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</si>
  <si>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</si>
  <si>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</si>
  <si>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</si>
  <si>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</si>
  <si>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</si>
  <si>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</si>
  <si>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</si>
  <si>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</si>
  <si>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</si>
  <si>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</si>
  <si>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</si>
  <si>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</si>
  <si>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</si>
  <si>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</si>
  <si>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</si>
  <si>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</si>
  <si>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</si>
  <si>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</si>
  <si>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</si>
  <si>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</si>
  <si>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</si>
  <si>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</si>
  <si>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</si>
  <si>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</si>
  <si>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</si>
  <si>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</si>
  <si>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</si>
  <si>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</si>
  <si>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</si>
  <si>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</si>
  <si>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</si>
  <si>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</si>
  <si>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</si>
  <si>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</si>
  <si>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</si>
  <si>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</si>
  <si>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</si>
  <si>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</si>
  <si>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</si>
  <si>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</si>
  <si>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</si>
  <si>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</si>
  <si>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</si>
  <si>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</si>
  <si>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</si>
  <si>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</si>
  <si>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</si>
  <si>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</si>
  <si>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</si>
  <si>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</si>
  <si>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</si>
  <si>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</si>
  <si>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</si>
  <si>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</si>
  <si>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</si>
  <si>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</si>
  <si>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</si>
  <si>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</si>
  <si>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</si>
  <si>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</si>
  <si>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</si>
  <si>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</si>
  <si>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</si>
  <si>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</si>
  <si>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</si>
  <si>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</si>
  <si>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</si>
  <si>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</si>
  <si>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</si>
  <si>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</si>
  <si>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</si>
  <si>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</si>
  <si>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</si>
  <si>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</si>
  <si>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</si>
  <si>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</si>
  <si>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</si>
  <si>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</si>
  <si>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</si>
  <si>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</si>
  <si>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</si>
  <si>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</si>
  <si>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</si>
  <si>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</si>
  <si>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</si>
  <si>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</si>
  <si>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</si>
  <si>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</si>
  <si>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</si>
  <si>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</si>
  <si>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</si>
  <si>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</si>
  <si>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</si>
  <si>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</si>
  <si>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</si>
  <si>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</si>
  <si>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</si>
  <si>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</si>
  <si>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</si>
  <si>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</si>
  <si>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</si>
  <si>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</si>
  <si>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</si>
  <si>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</si>
  <si>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</si>
  <si>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</si>
  <si>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</si>
  <si>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</si>
  <si>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</si>
  <si>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</si>
  <si>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</si>
  <si>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</si>
  <si>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</si>
  <si>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</si>
  <si>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</si>
  <si>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</si>
  <si>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</si>
  <si>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</si>
  <si>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</si>
  <si>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</si>
  <si>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</si>
  <si>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</si>
  <si>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</si>
  <si>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</si>
  <si>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</si>
  <si>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</si>
  <si>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</si>
  <si>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</si>
  <si>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</si>
  <si>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</si>
  <si>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</si>
  <si>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</si>
  <si>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</si>
  <si>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</si>
  <si>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</si>
  <si>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</si>
  <si>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</si>
  <si>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</si>
  <si>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</si>
  <si>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</si>
  <si>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</si>
  <si>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</si>
  <si>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</si>
  <si>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</si>
  <si>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</si>
  <si>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</si>
  <si>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</si>
  <si>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</si>
  <si>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</si>
  <si>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</si>
  <si>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</si>
  <si>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</si>
  <si>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</si>
  <si>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</si>
  <si>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</si>
  <si>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</si>
  <si>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</si>
  <si>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</si>
  <si>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</si>
  <si>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</si>
  <si>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</si>
  <si>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</si>
  <si>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</si>
  <si>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</si>
  <si>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</si>
  <si>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</si>
  <si>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</si>
  <si>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</si>
  <si>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</si>
  <si>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</si>
  <si>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</si>
  <si>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</si>
  <si>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</si>
  <si>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</si>
  <si>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</si>
  <si>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</si>
  <si>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</si>
  <si>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</si>
  <si>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</si>
  <si>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</si>
  <si>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</si>
  <si>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</si>
  <si>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</si>
  <si>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</si>
  <si>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</si>
  <si>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</si>
  <si>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</si>
  <si>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</si>
  <si>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</si>
  <si>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</si>
  <si>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</si>
  <si>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</si>
  <si>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</si>
  <si>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</si>
  <si>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</si>
  <si>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</si>
  <si>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</si>
  <si>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</si>
  <si>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</si>
  <si>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</si>
  <si>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</si>
  <si>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</si>
  <si>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</si>
  <si>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</si>
  <si>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</si>
  <si>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</si>
  <si>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</si>
  <si>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</si>
  <si>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</si>
  <si>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</si>
  <si>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</si>
  <si>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</si>
  <si>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</si>
  <si>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</si>
  <si>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</si>
  <si>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</si>
  <si>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</si>
  <si>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</si>
  <si>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</si>
  <si>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</si>
  <si>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</si>
  <si>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</si>
  <si>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</si>
  <si>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</si>
  <si>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</si>
  <si>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</si>
  <si>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</si>
  <si>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</si>
  <si>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</si>
  <si>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</si>
  <si>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</si>
  <si>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</si>
  <si>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</si>
  <si>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</si>
  <si>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</si>
  <si>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</si>
  <si>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</si>
  <si>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</si>
  <si>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</si>
  <si>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</si>
  <si>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</si>
  <si>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</si>
  <si>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</si>
  <si>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</si>
  <si>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</si>
  <si>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</si>
  <si>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</si>
  <si>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</si>
  <si>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</si>
  <si>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</si>
  <si>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</si>
  <si>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</si>
  <si>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</si>
  <si>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</si>
  <si>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</si>
  <si>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</si>
  <si>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</si>
  <si>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</si>
  <si>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</si>
  <si>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</si>
  <si>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</si>
  <si>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</si>
  <si>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</si>
  <si>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</si>
  <si>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</si>
  <si>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</si>
  <si>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</si>
  <si>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</si>
  <si>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</si>
  <si>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</si>
  <si>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</si>
  <si>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</si>
  <si>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</si>
  <si>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</si>
  <si>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</si>
  <si>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</si>
  <si>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</si>
  <si>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</si>
  <si>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</si>
  <si>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</si>
  <si>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</si>
  <si>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</si>
  <si>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</si>
  <si>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</si>
  <si>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</si>
  <si>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</si>
  <si>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</si>
  <si>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</si>
  <si>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</si>
  <si>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</si>
  <si>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</si>
  <si>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</si>
  <si>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</si>
  <si>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</si>
  <si>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</si>
  <si>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</si>
  <si>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</si>
  <si>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</si>
  <si>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</si>
  <si>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</si>
  <si>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</si>
  <si>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</si>
  <si>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</si>
  <si>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</si>
  <si>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</si>
  <si>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</si>
  <si>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</si>
  <si>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</si>
  <si>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</si>
  <si>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</si>
  <si>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</si>
  <si>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</si>
  <si>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</si>
  <si>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</si>
  <si>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</si>
  <si>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</si>
  <si>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</si>
  <si>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</si>
  <si>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</si>
  <si>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</si>
  <si>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</si>
  <si>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</si>
  <si>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</si>
  <si>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</si>
  <si>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</si>
  <si>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</si>
  <si>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</si>
  <si>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</si>
  <si>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</si>
  <si>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</si>
  <si>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</si>
  <si>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</si>
  <si>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</si>
  <si>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</si>
  <si>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</si>
  <si>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</si>
  <si>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</si>
  <si>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</si>
  <si>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</si>
  <si>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</si>
  <si>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</si>
  <si>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</si>
  <si>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</si>
  <si>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</si>
  <si>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</si>
  <si>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</si>
  <si>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</si>
  <si>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</si>
  <si>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</si>
  <si>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</si>
  <si>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</si>
  <si>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</si>
  <si>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</si>
  <si>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</si>
  <si>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</si>
  <si>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</si>
  <si>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</si>
  <si>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</si>
  <si>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</si>
  <si>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</si>
  <si>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</si>
  <si>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</si>
  <si>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</si>
  <si>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</si>
  <si>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</si>
  <si>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</si>
  <si>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</si>
  <si>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</si>
  <si>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</si>
  <si>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</si>
  <si>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</si>
  <si>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</si>
  <si>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</si>
  <si>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</si>
  <si>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</si>
  <si>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</si>
  <si>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</si>
  <si>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</si>
  <si>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</si>
  <si>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</si>
  <si>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</si>
  <si>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</si>
  <si>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</si>
  <si>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</si>
  <si>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</si>
  <si>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</si>
  <si>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</si>
  <si>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</si>
  <si>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</si>
  <si>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</si>
  <si>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</si>
  <si>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</si>
  <si>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</si>
  <si>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</si>
  <si>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</si>
  <si>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</si>
  <si>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</si>
  <si>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</si>
  <si>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</si>
  <si>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</si>
  <si>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</si>
  <si>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</si>
  <si>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</si>
  <si>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</si>
  <si>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</si>
  <si>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</si>
  <si>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</si>
  <si>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</si>
  <si>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</si>
  <si>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</si>
  <si>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</si>
  <si>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</si>
  <si>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</si>
  <si>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</si>
  <si>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</si>
  <si>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</si>
  <si>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</si>
  <si>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</si>
  <si>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</si>
  <si>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</si>
  <si>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</si>
  <si>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</si>
  <si>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</si>
  <si>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</si>
  <si>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</si>
  <si>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</si>
  <si>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</si>
  <si>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</si>
  <si>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</si>
  <si>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</si>
  <si>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</si>
  <si>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</si>
  <si>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</si>
  <si>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</si>
  <si>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</si>
  <si>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</si>
  <si>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</si>
  <si>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</si>
  <si>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</si>
  <si>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</si>
  <si>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</si>
  <si>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</si>
  <si>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</si>
  <si>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</si>
  <si>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</si>
  <si>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</si>
  <si>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</si>
  <si>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</si>
  <si>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</si>
  <si>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</si>
  <si>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</si>
  <si>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</si>
  <si>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</si>
  <si>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</si>
  <si>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</si>
  <si>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</si>
  <si>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</si>
  <si>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</si>
  <si>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</si>
  <si>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</si>
  <si>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</si>
  <si>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</si>
  <si>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</si>
  <si>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</si>
  <si>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</si>
  <si>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</si>
  <si>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</si>
  <si>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</si>
  <si>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</si>
  <si>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</si>
  <si>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</si>
  <si>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</si>
  <si>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</si>
  <si>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</si>
  <si>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</si>
  <si>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</si>
  <si>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</si>
  <si>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</si>
  <si>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</si>
  <si>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</si>
  <si>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</si>
  <si>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</si>
  <si>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</si>
  <si>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</si>
  <si>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</si>
  <si>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</si>
  <si>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</si>
  <si>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</si>
  <si>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</si>
  <si>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</si>
  <si>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</si>
  <si>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</si>
  <si>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</si>
  <si>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</si>
  <si>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</si>
  <si>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</si>
  <si>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</si>
  <si>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</si>
  <si>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</si>
  <si>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</si>
  <si>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</si>
  <si>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</si>
  <si>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</si>
  <si>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</si>
  <si>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</si>
  <si>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</si>
  <si>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</si>
  <si>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</si>
  <si>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</si>
  <si>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</si>
  <si>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</si>
  <si>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</si>
  <si>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</si>
  <si>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</si>
  <si>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</si>
  <si>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</si>
  <si>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</si>
  <si>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</si>
  <si>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</si>
  <si>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</si>
  <si>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</si>
  <si>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</si>
  <si>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</si>
  <si>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</si>
  <si>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</si>
  <si>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</si>
  <si>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</si>
  <si>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</si>
  <si>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</si>
  <si>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</si>
  <si>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</si>
  <si>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</si>
  <si>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</si>
  <si>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</si>
  <si>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</si>
  <si>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</si>
  <si>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</si>
  <si>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</si>
  <si>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</si>
  <si>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</si>
  <si>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</si>
  <si>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</si>
  <si>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</si>
  <si>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</si>
  <si>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</si>
  <si>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</si>
  <si>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</si>
  <si>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</si>
  <si>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</si>
  <si>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</si>
  <si>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</si>
  <si>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</si>
  <si>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</si>
  <si>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</si>
  <si>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</si>
  <si>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</si>
  <si>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</si>
  <si>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</si>
  <si>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</si>
  <si>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</si>
  <si>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</si>
  <si>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</si>
  <si>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</si>
  <si>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</si>
  <si>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</si>
  <si>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</si>
  <si>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</si>
  <si>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</si>
  <si>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</si>
  <si>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</si>
  <si>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</si>
  <si>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</si>
  <si>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</si>
  <si>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</si>
  <si>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</si>
  <si>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</si>
  <si>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</si>
  <si>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</si>
  <si>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</si>
  <si>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</si>
  <si>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</si>
  <si>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</si>
  <si>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</si>
  <si>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</si>
  <si>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</si>
  <si>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</si>
  <si>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</si>
  <si>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</si>
  <si>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</si>
  <si>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</si>
  <si>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</si>
  <si>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</si>
  <si>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</si>
  <si>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</si>
  <si>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</si>
  <si>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</si>
  <si>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</si>
  <si>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</si>
  <si>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</si>
  <si>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</si>
  <si>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</si>
  <si>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</si>
  <si>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</si>
  <si>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</si>
  <si>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</si>
  <si>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</si>
  <si>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</si>
  <si>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</si>
  <si>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</si>
  <si>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</si>
  <si>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</si>
  <si>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</si>
  <si>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</si>
  <si>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</si>
  <si>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</si>
  <si>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</si>
  <si>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</si>
  <si>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</si>
  <si>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</si>
  <si>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</si>
  <si>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</si>
  <si>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</si>
  <si>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</si>
  <si>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</si>
  <si>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</si>
  <si>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</si>
  <si>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</si>
  <si>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</si>
  <si>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</si>
  <si>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</si>
  <si>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</si>
  <si>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</si>
  <si>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</si>
  <si>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</si>
  <si>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</si>
  <si>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</si>
  <si>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</si>
  <si>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</si>
  <si>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</si>
  <si>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</si>
  <si>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</si>
  <si>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</si>
  <si>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</si>
  <si>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</si>
  <si>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</si>
  <si>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</si>
  <si>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</si>
  <si>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</si>
  <si>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</si>
  <si>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</si>
  <si>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</si>
  <si>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</si>
  <si>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</si>
  <si>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</si>
  <si>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</si>
  <si>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</si>
  <si>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</si>
  <si>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</si>
  <si>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</si>
  <si>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</si>
  <si>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</si>
  <si>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</si>
  <si>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</si>
  <si>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</si>
  <si>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</si>
  <si>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</si>
  <si>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</si>
  <si>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</si>
  <si>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</si>
  <si>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</si>
  <si>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</si>
  <si>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</si>
  <si>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</si>
  <si>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</si>
  <si>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</si>
  <si>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</si>
  <si>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</si>
  <si>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</si>
  <si>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</si>
  <si>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</si>
  <si>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</si>
  <si>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</si>
  <si>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</si>
  <si>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</si>
  <si>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</si>
  <si>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</si>
  <si>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</si>
  <si>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</si>
  <si>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</si>
  <si>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</si>
  <si>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</si>
  <si>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</si>
  <si>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</si>
  <si>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</si>
  <si>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</si>
  <si>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</si>
  <si>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</si>
  <si>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</si>
  <si>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</si>
  <si>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</si>
  <si>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</si>
  <si>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</si>
  <si>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</si>
  <si>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</si>
  <si>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</si>
  <si>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</si>
  <si>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</si>
  <si>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</si>
  <si>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</si>
  <si>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</si>
  <si>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</si>
  <si>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</si>
  <si>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</si>
  <si>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</si>
  <si>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</si>
  <si>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</si>
  <si>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</si>
  <si>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</si>
  <si>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</si>
  <si>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</si>
  <si>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</si>
  <si>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</si>
  <si>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</si>
  <si>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</si>
  <si>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</si>
  <si>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</si>
  <si>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</si>
  <si>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</si>
  <si>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</si>
  <si>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</si>
  <si>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</si>
  <si>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</si>
  <si>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</si>
  <si>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</si>
  <si>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</si>
  <si>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</si>
  <si>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</si>
  <si>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</si>
  <si>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</si>
  <si>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</si>
  <si>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</si>
  <si>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</si>
  <si>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</si>
  <si>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</si>
  <si>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</si>
  <si>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</si>
  <si>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</si>
  <si>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</si>
  <si>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</si>
  <si>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</si>
  <si>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</si>
  <si>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</si>
  <si>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</si>
  <si>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</si>
  <si>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</si>
  <si>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</si>
  <si>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</si>
  <si>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</si>
  <si>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</si>
  <si>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</si>
  <si>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</si>
  <si>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</si>
  <si>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</si>
  <si>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</si>
  <si>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</si>
  <si>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</si>
  <si>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</si>
  <si>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</si>
  <si>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</si>
  <si>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</si>
  <si>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</si>
  <si>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</si>
  <si>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</si>
  <si>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</si>
  <si>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</si>
  <si>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</si>
  <si>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</si>
  <si>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</si>
  <si>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</si>
  <si>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</si>
  <si>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</si>
  <si>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</si>
  <si>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</si>
  <si>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</si>
  <si>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</si>
  <si>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</si>
  <si>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</si>
  <si>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</si>
  <si>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</si>
  <si>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</si>
  <si>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</si>
  <si>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</si>
  <si>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</si>
  <si>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</si>
  <si>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</si>
  <si>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</si>
  <si>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</si>
  <si>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</si>
  <si>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</si>
  <si>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</si>
  <si>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</si>
  <si>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</si>
  <si>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</si>
  <si>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</si>
  <si>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</si>
  <si>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</si>
  <si>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</si>
  <si>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</si>
  <si>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</si>
  <si>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</si>
  <si>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</si>
  <si>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</si>
  <si>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</si>
  <si>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</si>
  <si>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</si>
  <si>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</si>
  <si>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</si>
  <si>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</si>
  <si>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</si>
  <si>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</si>
  <si>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</si>
  <si>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</si>
  <si>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</si>
  <si>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</si>
  <si>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</si>
  <si>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</si>
  <si>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</si>
  <si>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</si>
  <si>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</si>
  <si>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</si>
  <si>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</si>
  <si>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</si>
  <si>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</si>
  <si>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</si>
  <si>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</si>
  <si>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</si>
  <si>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</si>
  <si>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</si>
  <si>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</si>
  <si>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</si>
  <si>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</si>
  <si>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</si>
  <si>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</si>
  <si>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</si>
  <si>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</si>
  <si>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</si>
  <si>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</si>
  <si>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</si>
  <si>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</si>
  <si>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</si>
  <si>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</si>
  <si>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</si>
  <si>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</si>
  <si>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</si>
  <si>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</si>
  <si>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</si>
  <si>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</si>
  <si>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</si>
  <si>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</si>
  <si>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</si>
  <si>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</si>
  <si>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</si>
  <si>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</si>
  <si>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</si>
  <si>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</si>
  <si>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</si>
  <si>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</si>
  <si>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</si>
  <si>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</si>
  <si>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</si>
  <si>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</si>
  <si>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</si>
  <si>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</si>
  <si>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</si>
  <si>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</si>
  <si>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</si>
  <si>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</si>
  <si>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</si>
  <si>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</si>
  <si>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</si>
  <si>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</si>
  <si>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</si>
  <si>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</si>
  <si>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</si>
  <si>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</si>
  <si>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</si>
  <si>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</si>
  <si>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</si>
  <si>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</si>
  <si>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</si>
  <si>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</si>
  <si>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</si>
  <si>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</si>
  <si>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</si>
  <si>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</si>
  <si>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</si>
  <si>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</si>
  <si>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</si>
  <si>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</si>
  <si>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</si>
  <si>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</si>
  <si>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</si>
  <si>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</si>
  <si>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</si>
  <si>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</si>
  <si>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</si>
  <si>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</si>
  <si>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</si>
  <si>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</si>
  <si>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</si>
  <si>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</si>
  <si>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</si>
  <si>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</si>
  <si>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</si>
  <si>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</si>
  <si>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</si>
  <si>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</si>
  <si>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</si>
  <si>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</si>
  <si>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</si>
  <si>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</si>
  <si>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</si>
  <si>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</si>
  <si>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</si>
  <si>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</si>
  <si>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</si>
  <si>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</si>
  <si>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</si>
  <si>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</si>
  <si>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</si>
  <si>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</si>
  <si>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</si>
  <si>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</si>
  <si>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</si>
  <si>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</si>
  <si>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</si>
  <si>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</si>
  <si>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</si>
  <si>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</si>
  <si>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</si>
  <si>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</si>
  <si>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</si>
  <si>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</si>
  <si>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</si>
  <si>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</si>
  <si>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</si>
  <si>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</si>
  <si>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</si>
  <si>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</si>
  <si>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</si>
  <si>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</si>
  <si>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</si>
  <si>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</si>
  <si>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</si>
  <si>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</si>
  <si>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</si>
  <si>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</si>
  <si>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</si>
  <si>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</si>
  <si>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</si>
  <si>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</si>
  <si>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</si>
  <si>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</si>
  <si>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</si>
  <si>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</si>
  <si>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</si>
  <si>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</si>
  <si>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</si>
  <si>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</si>
  <si>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</si>
  <si>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</si>
  <si>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</si>
  <si>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</si>
  <si>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</si>
  <si>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</si>
  <si>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</si>
  <si>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</si>
  <si>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</si>
  <si>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</si>
  <si>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</si>
  <si>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</si>
  <si>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</si>
  <si>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</si>
  <si>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</si>
  <si>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</si>
  <si>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</si>
  <si>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</si>
  <si>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</si>
  <si>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</si>
  <si>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</si>
  <si>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</si>
  <si>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</si>
  <si>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</si>
  <si>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</si>
  <si>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</si>
  <si>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</si>
  <si>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</si>
  <si>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</si>
  <si>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</si>
  <si>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</si>
  <si>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</si>
  <si>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</si>
  <si>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</si>
  <si>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</si>
  <si>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</si>
  <si>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</si>
  <si>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</si>
  <si>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</si>
  <si>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</si>
  <si>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</si>
  <si>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</si>
  <si>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</si>
  <si>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</si>
  <si>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</si>
  <si>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</si>
  <si>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</si>
  <si>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</si>
  <si>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</si>
  <si>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</si>
  <si>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</si>
  <si>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</si>
  <si>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</si>
  <si>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</si>
  <si>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</si>
  <si>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</si>
  <si>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</si>
  <si>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</si>
  <si>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</si>
  <si>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</si>
  <si>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</si>
  <si>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</si>
  <si>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</si>
  <si>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</si>
  <si>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</si>
  <si>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</si>
  <si>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</si>
  <si>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</si>
  <si>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</si>
  <si>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</si>
  <si>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</si>
  <si>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</si>
  <si>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</si>
  <si>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</si>
  <si>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</si>
  <si>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</si>
  <si>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</si>
  <si>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</si>
  <si>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</si>
  <si>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</si>
  <si>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</si>
  <si>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</si>
  <si>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</si>
  <si>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</si>
  <si>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</si>
  <si>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</si>
  <si>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</si>
  <si>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</si>
  <si>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</si>
  <si>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</si>
  <si>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</si>
  <si>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</si>
  <si>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</si>
  <si>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</si>
  <si>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</si>
  <si>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</si>
  <si>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</si>
  <si>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</si>
  <si>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</si>
  <si>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</si>
  <si>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</si>
  <si>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</si>
  <si>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</si>
  <si>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</si>
  <si>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</si>
  <si>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</si>
  <si>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</si>
  <si>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</si>
  <si>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</si>
  <si>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</si>
  <si>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</si>
  <si>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</si>
  <si>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</si>
  <si>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</si>
  <si>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</si>
  <si>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</si>
  <si>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</si>
  <si>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</si>
  <si>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</si>
  <si>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</si>
  <si>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</si>
  <si>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</si>
  <si>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</si>
  <si>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</si>
  <si>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</si>
  <si>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</si>
  <si>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</si>
  <si>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</si>
  <si>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</si>
  <si>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</si>
  <si>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</si>
  <si>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</si>
  <si>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</si>
  <si>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</si>
  <si>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</si>
  <si>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</si>
  <si>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</si>
  <si>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</si>
  <si>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</si>
  <si>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</si>
  <si>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</si>
  <si>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</si>
  <si>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</si>
  <si>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</si>
  <si>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</si>
  <si>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</si>
  <si>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</si>
  <si>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</si>
  <si>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</si>
  <si>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</si>
  <si>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</si>
  <si>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</si>
  <si>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</si>
  <si>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</si>
  <si>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</si>
  <si>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</si>
  <si>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</si>
  <si>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</si>
  <si>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</si>
  <si>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</si>
  <si>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</si>
  <si>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</si>
  <si>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</si>
  <si>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</si>
  <si>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</si>
  <si>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</si>
  <si>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</si>
  <si>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</si>
  <si>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</si>
  <si>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</si>
  <si>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</si>
  <si>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</si>
  <si>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</si>
  <si>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</si>
  <si>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</si>
  <si>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</si>
  <si>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</si>
  <si>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</si>
  <si>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</si>
  <si>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</si>
  <si>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</si>
  <si>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</si>
  <si>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</si>
  <si>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</si>
  <si>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</si>
  <si>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</si>
  <si>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</si>
  <si>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</si>
  <si>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</si>
  <si>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</si>
  <si>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</si>
  <si>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</si>
  <si>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</si>
  <si>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</si>
  <si>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</si>
  <si>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</si>
  <si>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</si>
  <si>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</si>
  <si>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</si>
  <si>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</si>
  <si>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</si>
  <si>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</si>
  <si>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</si>
  <si>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</si>
  <si>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</si>
  <si>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</si>
  <si>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</si>
  <si>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</si>
  <si>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</si>
  <si>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</si>
  <si>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</si>
  <si>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</si>
  <si>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</si>
  <si>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</si>
  <si>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</si>
  <si>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</si>
  <si>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</si>
  <si>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</si>
  <si>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</si>
  <si>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</si>
  <si>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</si>
  <si>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</si>
  <si>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</si>
  <si>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</si>
  <si>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</si>
  <si>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</si>
  <si>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</si>
  <si>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</si>
  <si>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</si>
  <si>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</si>
  <si>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</si>
  <si>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</si>
  <si>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</si>
  <si>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</si>
  <si>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</si>
  <si>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</si>
  <si>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</si>
  <si>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</si>
  <si>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</si>
  <si>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</si>
  <si>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</si>
  <si>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</si>
  <si>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</si>
  <si>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</si>
  <si>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</si>
  <si>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</si>
  <si>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</si>
  <si>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</si>
  <si>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</si>
  <si>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</si>
  <si>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</si>
  <si>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</si>
  <si>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</si>
  <si>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</si>
  <si>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</si>
  <si>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</si>
  <si>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</si>
  <si>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</si>
  <si>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</si>
  <si>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</si>
  <si>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</si>
  <si>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</si>
  <si>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</si>
  <si>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</si>
  <si>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</si>
  <si>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</si>
  <si>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</si>
  <si>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</si>
  <si>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</si>
  <si>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</si>
  <si>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</si>
  <si>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</si>
  <si>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</si>
  <si>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</si>
  <si>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</si>
  <si>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</si>
  <si>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</si>
  <si>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</si>
  <si>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</si>
  <si>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</si>
  <si>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</si>
  <si>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</si>
  <si>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</si>
  <si>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</si>
  <si>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</si>
  <si>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</si>
  <si>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</si>
  <si>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</si>
  <si>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</si>
  <si>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</si>
  <si>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</si>
  <si>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</si>
  <si>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</si>
  <si>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</si>
  <si>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</si>
  <si>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</si>
  <si>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</si>
  <si>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</si>
  <si>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</si>
  <si>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</si>
  <si>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</si>
  <si>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</si>
  <si>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</si>
  <si>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</si>
  <si>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</si>
  <si>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</si>
  <si>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</si>
  <si>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</si>
  <si>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</si>
  <si>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</si>
  <si>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</si>
  <si>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</si>
  <si>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</si>
  <si>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</si>
  <si>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</si>
  <si>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</si>
  <si>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</si>
  <si>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</si>
  <si>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</si>
  <si>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</si>
  <si>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</si>
  <si>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</si>
  <si>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</si>
  <si>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</si>
  <si>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</si>
  <si>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</si>
  <si>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</si>
  <si>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</si>
  <si>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</si>
  <si>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</si>
  <si>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</si>
  <si>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</si>
  <si>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</si>
  <si>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</si>
  <si>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</si>
  <si>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</si>
  <si>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</si>
  <si>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</si>
  <si>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</si>
  <si>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</si>
  <si>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</si>
  <si>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</si>
  <si>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</si>
  <si>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</si>
  <si>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</si>
  <si>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</si>
  <si>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</si>
  <si>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</si>
  <si>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</si>
  <si>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</si>
  <si>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</si>
  <si>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</si>
  <si>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</si>
  <si>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</si>
  <si>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</si>
  <si>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</si>
  <si>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</si>
  <si>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</si>
  <si>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</si>
  <si>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</si>
  <si>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</si>
  <si>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</si>
  <si>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</si>
  <si>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</si>
  <si>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</si>
  <si>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</si>
  <si>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</si>
  <si>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</si>
  <si>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</si>
  <si>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</si>
  <si>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</si>
  <si>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</si>
  <si>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</si>
  <si>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</si>
  <si>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</si>
  <si>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</si>
  <si>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</si>
  <si>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</si>
  <si>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</si>
  <si>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</si>
  <si>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</si>
  <si>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</si>
  <si>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</si>
  <si>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</si>
  <si>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</si>
  <si>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</si>
  <si>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</si>
  <si>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</si>
  <si>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</si>
  <si>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</si>
  <si>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</si>
  <si>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</si>
  <si>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</si>
  <si>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</si>
  <si>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</si>
  <si>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</si>
  <si>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</si>
  <si>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</si>
  <si>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</si>
  <si>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</si>
  <si>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</si>
  <si>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</si>
  <si>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</si>
  <si>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</si>
  <si>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</si>
  <si>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</si>
  <si>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</si>
  <si>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</si>
  <si>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</si>
  <si>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</si>
  <si>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</si>
  <si>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</si>
  <si>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</si>
  <si>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</si>
  <si>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</si>
  <si>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</si>
  <si>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</si>
  <si>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</si>
  <si>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</si>
  <si>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</si>
  <si>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</si>
  <si>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</si>
  <si>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</si>
  <si>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</si>
  <si>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</si>
  <si>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</si>
  <si>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</si>
  <si>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</si>
  <si>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</si>
  <si>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</si>
  <si>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</si>
  <si>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</si>
  <si>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</si>
  <si>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</si>
  <si>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</si>
  <si>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</si>
  <si>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</si>
  <si>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</si>
  <si>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</si>
  <si>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</si>
  <si>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</si>
  <si>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</si>
  <si>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</si>
  <si>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</si>
  <si>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</si>
  <si>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</si>
  <si>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</si>
  <si>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</si>
  <si>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</si>
  <si>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</si>
  <si>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</si>
  <si>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</si>
  <si>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</si>
  <si>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</si>
  <si>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</si>
  <si>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</si>
  <si>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</si>
  <si>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</si>
  <si>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</si>
  <si>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</si>
  <si>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</si>
  <si>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</si>
  <si>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</si>
  <si>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</si>
  <si>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</si>
  <si>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</si>
  <si>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</si>
  <si>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</si>
  <si>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</si>
  <si>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</si>
  <si>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</si>
  <si>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</si>
  <si>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</si>
  <si>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</si>
  <si>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</si>
  <si>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</si>
  <si>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</si>
  <si>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</si>
  <si>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</si>
  <si>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</si>
  <si>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</si>
  <si>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</si>
  <si>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</si>
  <si>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</si>
  <si>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</si>
  <si>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</si>
  <si>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</si>
  <si>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</si>
  <si>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</si>
  <si>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</si>
  <si>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</si>
  <si>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</si>
  <si>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</si>
  <si>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</si>
  <si>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</si>
  <si>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</si>
  <si>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</si>
  <si>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</si>
  <si>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</si>
  <si>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</si>
  <si>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</si>
  <si>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</si>
  <si>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</si>
  <si>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</si>
  <si>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</si>
  <si>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</si>
  <si>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</si>
  <si>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</si>
  <si>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</si>
  <si>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</si>
  <si>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</si>
  <si>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</si>
  <si>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</si>
  <si>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</si>
  <si>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</si>
  <si>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</si>
  <si>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</si>
  <si>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</si>
  <si>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</si>
  <si>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</si>
  <si>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</si>
  <si>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</si>
  <si>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</si>
  <si>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</si>
  <si>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</si>
  <si>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</si>
  <si>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</si>
  <si>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</si>
  <si>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</si>
  <si>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</si>
  <si>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</si>
  <si>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</si>
  <si>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</si>
  <si>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</si>
  <si>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</si>
  <si>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</si>
  <si>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</si>
  <si>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</si>
  <si>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</si>
  <si>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</si>
  <si>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</si>
  <si>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</si>
  <si>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</si>
  <si>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</si>
  <si>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</si>
  <si>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</si>
  <si>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</si>
  <si>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</si>
  <si>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</si>
  <si>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</si>
  <si>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</si>
  <si>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</si>
  <si>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</si>
  <si>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</si>
  <si>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</si>
  <si>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</si>
  <si>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</si>
  <si>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</si>
  <si>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</si>
  <si>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</si>
  <si>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</si>
  <si>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</si>
  <si>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</si>
  <si>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</si>
  <si>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</si>
  <si>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</si>
  <si>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</si>
  <si>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</si>
  <si>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</si>
  <si>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</si>
  <si>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</si>
  <si>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</si>
  <si>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</si>
  <si>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</si>
  <si>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</si>
  <si>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</si>
  <si>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</si>
  <si>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</si>
  <si>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</si>
  <si>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</si>
  <si>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</si>
  <si>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</si>
  <si>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</si>
  <si>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</si>
  <si>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</si>
  <si>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</si>
  <si>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</si>
  <si>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</si>
  <si>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</si>
  <si>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</si>
  <si>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</si>
  <si>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</si>
  <si>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</si>
  <si>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</si>
  <si>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</si>
  <si>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</si>
  <si>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</si>
  <si>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</si>
  <si>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</si>
  <si>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</si>
  <si>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</si>
  <si>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</si>
  <si>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</si>
  <si>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</si>
  <si>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</si>
  <si>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</si>
  <si>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</si>
  <si>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</si>
  <si>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</si>
  <si>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</si>
  <si>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</si>
  <si>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</si>
  <si>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</si>
  <si>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</si>
  <si>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</si>
  <si>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</si>
  <si>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</si>
  <si>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</si>
  <si>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</si>
  <si>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</si>
  <si>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</si>
  <si>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</si>
  <si>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</si>
  <si>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</si>
  <si>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</si>
  <si>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</si>
  <si>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</si>
  <si>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</si>
  <si>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</si>
  <si>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</si>
  <si>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</si>
  <si>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</si>
  <si>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</si>
  <si>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</si>
  <si>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</si>
  <si>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</si>
  <si>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</si>
  <si>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</si>
  <si>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</si>
  <si>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</si>
  <si>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</si>
  <si>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</si>
  <si>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</si>
  <si>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</si>
  <si>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</si>
  <si>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</si>
  <si>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</si>
  <si>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</si>
  <si>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</si>
  <si>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</si>
  <si>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</si>
  <si>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</si>
  <si>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</si>
  <si>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</si>
  <si>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</si>
  <si>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</si>
  <si>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</si>
  <si>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</si>
  <si>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</si>
  <si>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</si>
  <si>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</si>
  <si>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</si>
  <si>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</si>
  <si>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</si>
  <si>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</si>
  <si>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</si>
  <si>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</si>
  <si>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</si>
  <si>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</si>
  <si>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</si>
  <si>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</si>
  <si>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</si>
  <si>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</si>
  <si>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</si>
  <si>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</si>
  <si>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</si>
  <si>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</si>
  <si>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</si>
  <si>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</si>
  <si>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</si>
  <si>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</si>
  <si>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</si>
  <si>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</si>
  <si>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</si>
  <si>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</si>
  <si>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</si>
  <si>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</si>
  <si>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</si>
  <si>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</si>
  <si>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</si>
  <si>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</si>
  <si>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</si>
  <si>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</si>
  <si>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</si>
  <si>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</si>
  <si>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</si>
  <si>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</si>
  <si>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</si>
  <si>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</si>
  <si>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</si>
  <si>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</si>
  <si>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</si>
  <si>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</si>
  <si>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</si>
  <si>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</si>
  <si>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</si>
  <si>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</si>
  <si>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</si>
  <si>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</si>
  <si>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</si>
  <si>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</si>
  <si>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</si>
  <si>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</si>
  <si>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</si>
  <si>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</si>
  <si>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</si>
  <si>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</si>
  <si>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</si>
  <si>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</si>
  <si>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</si>
  <si>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</si>
  <si>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</si>
  <si>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</si>
  <si>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</si>
  <si>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</si>
  <si>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</si>
  <si>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</si>
  <si>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</si>
  <si>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</si>
  <si>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</si>
  <si>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</si>
  <si>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</si>
  <si>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</si>
  <si>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</si>
  <si>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</si>
  <si>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</si>
  <si>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</si>
  <si>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</si>
  <si>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</si>
  <si>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</si>
  <si>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</si>
  <si>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</si>
  <si>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</si>
  <si>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</si>
  <si>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</si>
  <si>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</si>
  <si>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</si>
  <si>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</si>
  <si>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</si>
  <si>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</si>
  <si>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</si>
  <si>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</si>
  <si>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</si>
  <si>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</si>
  <si>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</si>
  <si>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</si>
  <si>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</si>
  <si>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</si>
  <si>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</si>
  <si>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</si>
  <si>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</si>
  <si>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</si>
  <si>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</si>
  <si>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</si>
  <si>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</si>
  <si>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</si>
  <si>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</si>
  <si>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</si>
  <si>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</si>
  <si>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</si>
  <si>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</si>
  <si>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</si>
  <si>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</si>
  <si>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</si>
  <si>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</si>
  <si>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</si>
  <si>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</si>
  <si>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</si>
  <si>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</si>
  <si>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</si>
  <si>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</si>
  <si>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</si>
  <si>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</si>
  <si>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</si>
  <si>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</si>
  <si>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</si>
  <si>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</si>
  <si>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</si>
  <si>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</si>
  <si>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</si>
  <si>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</si>
  <si>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</si>
  <si>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</si>
  <si>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</si>
  <si>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</si>
  <si>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</si>
  <si>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</si>
  <si>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</si>
  <si>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</si>
  <si>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</si>
  <si>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</si>
  <si>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</si>
  <si>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</si>
  <si>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</si>
  <si>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</si>
  <si>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</si>
  <si>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</si>
  <si>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</si>
  <si>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</si>
  <si>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</si>
  <si>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</si>
  <si>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</si>
  <si>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</si>
  <si>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</si>
  <si>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</si>
  <si>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</si>
  <si>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</si>
  <si>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</si>
  <si>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</si>
  <si>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</si>
  <si>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</si>
  <si>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</si>
  <si>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</si>
  <si>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</si>
  <si>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</si>
  <si>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</si>
  <si>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</si>
  <si>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</si>
  <si>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</si>
  <si>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</si>
  <si>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</si>
  <si>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</si>
  <si>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</si>
  <si>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</si>
  <si>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</si>
  <si>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</si>
  <si>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</si>
  <si>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</si>
  <si>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</si>
  <si>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</si>
  <si>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</si>
  <si>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</si>
  <si>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</si>
  <si>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</si>
  <si>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</si>
  <si>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</si>
  <si>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</si>
  <si>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</si>
  <si>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</si>
  <si>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</si>
  <si>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</si>
  <si>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</si>
  <si>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</si>
  <si>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</si>
  <si>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</si>
  <si>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</si>
  <si>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</si>
  <si>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</si>
  <si>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</si>
  <si>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</si>
  <si>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</si>
  <si>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</si>
  <si>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</si>
  <si>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</si>
  <si>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</si>
  <si>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</si>
  <si>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</si>
  <si>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</si>
  <si>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</si>
  <si>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</si>
  <si>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</si>
  <si>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</si>
  <si>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</si>
  <si>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</si>
  <si>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</si>
  <si>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</si>
  <si>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</si>
  <si>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</si>
  <si>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</si>
  <si>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</si>
  <si>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</si>
  <si>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</si>
  <si>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</si>
  <si>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</si>
  <si>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</si>
  <si>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</si>
  <si>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</si>
  <si>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</si>
  <si>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</si>
  <si>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</si>
  <si>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</si>
  <si>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</si>
  <si>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</si>
  <si>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</si>
  <si>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</si>
  <si>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</si>
  <si>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</si>
  <si>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</si>
  <si>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</si>
  <si>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</si>
  <si>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</si>
  <si>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</si>
  <si>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</si>
  <si>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</si>
  <si>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</si>
  <si>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</si>
  <si>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</si>
  <si>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</si>
  <si>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</si>
  <si>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</si>
  <si>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</si>
  <si>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</si>
  <si>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</si>
  <si>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</si>
  <si>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</si>
  <si>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</si>
  <si>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</si>
  <si>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</si>
  <si>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</si>
  <si>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</si>
  <si>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</si>
  <si>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</si>
  <si>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</si>
  <si>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</si>
  <si>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</si>
  <si>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</si>
  <si>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</si>
  <si>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</si>
  <si>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</si>
  <si>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</si>
  <si>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</si>
  <si>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</si>
  <si>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</si>
  <si>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</si>
  <si>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</si>
  <si>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</si>
  <si>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</si>
  <si>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</si>
  <si>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</si>
  <si>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</si>
  <si>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</si>
  <si>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</si>
  <si>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</si>
  <si>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</si>
  <si>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</si>
  <si>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</si>
  <si>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</si>
  <si>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</si>
  <si>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</si>
  <si>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</si>
  <si>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</si>
  <si>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</si>
  <si>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</si>
  <si>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</si>
  <si>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</si>
  <si>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</si>
  <si>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</si>
  <si>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</si>
  <si>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</si>
  <si>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</si>
  <si>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</si>
  <si>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</si>
  <si>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</si>
  <si>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</si>
  <si>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</si>
  <si>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</si>
  <si>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</si>
  <si>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</si>
  <si>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</si>
  <si>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</si>
  <si>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</si>
  <si>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</si>
  <si>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</si>
  <si>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</si>
  <si>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</si>
  <si>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</si>
  <si>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</si>
  <si>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</si>
  <si>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</si>
  <si>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</si>
  <si>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</si>
  <si>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</si>
  <si>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</si>
  <si>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</si>
  <si>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</si>
  <si>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</si>
  <si>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</si>
  <si>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</si>
  <si>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</si>
  <si>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</si>
  <si>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</si>
  <si>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</si>
  <si>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</si>
  <si>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</si>
  <si>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</si>
  <si>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</si>
  <si>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</si>
  <si>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</si>
  <si>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</si>
  <si>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</si>
  <si>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</si>
  <si>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</si>
  <si>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</si>
  <si>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</si>
  <si>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</si>
  <si>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</si>
  <si>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</si>
  <si>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</si>
  <si>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</si>
  <si>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</si>
  <si>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</si>
  <si>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</si>
  <si>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</si>
  <si>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</si>
  <si>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</si>
  <si>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</si>
  <si>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</si>
  <si>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</si>
  <si>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</si>
  <si>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</si>
  <si>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</si>
  <si>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</si>
  <si>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</si>
  <si>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</si>
  <si>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</si>
  <si>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</si>
  <si>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</si>
  <si>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</si>
  <si>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</si>
  <si>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</si>
  <si>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</si>
  <si>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</si>
  <si>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</si>
  <si>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</si>
  <si>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</si>
  <si>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</si>
  <si>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</si>
  <si>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</si>
  <si>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</si>
  <si>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</si>
  <si>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</si>
  <si>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</si>
  <si>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</si>
  <si>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</si>
  <si>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</si>
  <si>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</si>
  <si>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</si>
  <si>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</si>
  <si>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</si>
  <si>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</si>
  <si>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</si>
  <si>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</si>
  <si>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</si>
  <si>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</si>
  <si>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</si>
  <si>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</si>
  <si>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</si>
  <si>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</si>
  <si>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</si>
  <si>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</si>
  <si>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</si>
  <si>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</si>
  <si>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</si>
  <si>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</si>
  <si>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</si>
  <si>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</si>
  <si>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</si>
  <si>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</si>
  <si>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</si>
  <si>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</si>
  <si>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</si>
  <si>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</si>
  <si>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</si>
  <si>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</si>
  <si>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</si>
  <si>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</si>
  <si>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</si>
  <si>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</si>
  <si>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</si>
  <si>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</si>
  <si>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</si>
  <si>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</si>
  <si>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</si>
  <si>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</si>
  <si>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</si>
  <si>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</si>
  <si>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</si>
  <si>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</si>
  <si>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</si>
  <si>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</si>
  <si>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</si>
  <si>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</si>
  <si>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</si>
  <si>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</si>
  <si>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</si>
  <si>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</si>
  <si>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</si>
  <si>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</si>
  <si>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</si>
  <si>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</si>
  <si>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</si>
  <si>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</si>
  <si>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</si>
  <si>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</si>
  <si>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</si>
  <si>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</si>
  <si>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</si>
  <si>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</si>
  <si>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</si>
  <si>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</si>
  <si>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</si>
  <si>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</si>
  <si>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</si>
  <si>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</si>
  <si>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</si>
  <si>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</si>
  <si>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</si>
  <si>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</si>
  <si>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</si>
  <si>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</si>
  <si>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</si>
  <si>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</si>
  <si>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</si>
  <si>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</si>
  <si>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</si>
  <si>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</si>
  <si>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</si>
  <si>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</si>
  <si>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</si>
  <si>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</si>
  <si>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</si>
  <si>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</si>
  <si>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</si>
  <si>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</si>
  <si>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</si>
  <si>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</si>
  <si>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</si>
  <si>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</si>
  <si>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</si>
  <si>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</si>
  <si>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</si>
  <si>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</si>
  <si>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</si>
  <si>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</si>
  <si>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</si>
  <si>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</si>
  <si>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</si>
  <si>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</si>
  <si>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</si>
  <si>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</si>
  <si>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</si>
  <si>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</si>
  <si>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</si>
  <si>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</si>
  <si>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</si>
  <si>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</si>
  <si>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</si>
  <si>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</si>
  <si>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</si>
  <si>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</si>
  <si>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</si>
  <si>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</si>
  <si>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</si>
  <si>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</si>
  <si>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</si>
  <si>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</si>
  <si>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</si>
  <si>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</si>
  <si>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</si>
  <si>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</si>
  <si>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</si>
  <si>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</si>
  <si>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</si>
  <si>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</si>
  <si>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</si>
  <si>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</si>
  <si>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</si>
  <si>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</si>
  <si>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</si>
  <si>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</si>
  <si>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</si>
  <si>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</si>
  <si>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</si>
  <si>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</si>
  <si>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</si>
  <si>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</si>
  <si>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</si>
  <si>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</si>
  <si>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</si>
  <si>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</si>
  <si>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</si>
  <si>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</si>
  <si>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</si>
  <si>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</si>
  <si>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</si>
  <si>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</si>
  <si>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</si>
  <si>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</si>
  <si>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</si>
  <si>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</si>
  <si>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</si>
  <si>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</si>
  <si>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</si>
  <si>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</si>
  <si>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</si>
  <si>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</si>
  <si>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</si>
  <si>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</si>
  <si>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</si>
  <si>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</si>
  <si>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</si>
  <si>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</si>
  <si>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</si>
  <si>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</si>
  <si>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</si>
  <si>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</si>
  <si>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</si>
  <si>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</si>
  <si>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</si>
  <si>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</si>
  <si>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</si>
  <si>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</si>
  <si>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</si>
  <si>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</si>
  <si>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</si>
  <si>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</si>
  <si>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</si>
  <si>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</si>
  <si>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</si>
  <si>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</si>
  <si>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</si>
  <si>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</si>
  <si>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</si>
  <si>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</si>
  <si>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</si>
  <si>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</si>
  <si>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</si>
  <si>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</si>
  <si>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</si>
  <si>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</si>
  <si>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</si>
  <si>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</si>
  <si>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</si>
  <si>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</si>
  <si>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</si>
  <si>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</si>
  <si>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</si>
  <si>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</si>
  <si>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</si>
  <si>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</si>
  <si>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</si>
  <si>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</si>
  <si>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</si>
  <si>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</si>
  <si>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</si>
  <si>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</si>
  <si>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</si>
  <si>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</si>
  <si>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</si>
  <si>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</si>
  <si>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</si>
  <si>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</si>
  <si>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</si>
  <si>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</si>
  <si>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</si>
  <si>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</si>
  <si>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</si>
  <si>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</si>
  <si>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</si>
  <si>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</si>
  <si>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</si>
  <si>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</si>
  <si>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</si>
  <si>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</si>
  <si>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</si>
  <si>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</si>
  <si>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</si>
  <si>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</si>
  <si>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</si>
  <si>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</si>
  <si>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</si>
  <si>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</si>
  <si>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</si>
  <si>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</si>
  <si>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</si>
  <si>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</si>
  <si>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</si>
  <si>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</si>
  <si>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</si>
  <si>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</si>
  <si>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</si>
  <si>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</si>
  <si>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</si>
  <si>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</si>
  <si>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</si>
  <si>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</si>
  <si>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</si>
  <si>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</si>
  <si>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</si>
  <si>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</si>
  <si>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</si>
  <si>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</si>
  <si>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</si>
  <si>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</si>
  <si>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</si>
  <si>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</si>
  <si>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</si>
  <si>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</si>
  <si>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</si>
  <si>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</si>
  <si>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</si>
  <si>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</si>
  <si>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</si>
  <si>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</si>
  <si>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</si>
  <si>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</si>
  <si>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</si>
  <si>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</si>
  <si>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</si>
  <si>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</si>
  <si>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</si>
  <si>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</si>
  <si>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</si>
  <si>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</si>
  <si>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</si>
  <si>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</si>
  <si>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</si>
  <si>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</si>
  <si>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</si>
  <si>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</si>
  <si>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</si>
  <si>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</si>
  <si>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</si>
  <si>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</si>
  <si>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</si>
  <si>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</si>
  <si>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</si>
  <si>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</si>
  <si>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</si>
  <si>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</si>
  <si>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</si>
  <si>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</si>
  <si>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</si>
  <si>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</si>
  <si>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</si>
  <si>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</si>
  <si>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</si>
  <si>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</si>
  <si>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</si>
  <si>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</si>
  <si>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</si>
  <si>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</si>
  <si>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</si>
  <si>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</si>
  <si>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</si>
  <si>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</si>
  <si>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</si>
  <si>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</si>
  <si>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</si>
  <si>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</si>
  <si>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</si>
  <si>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</si>
  <si>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</si>
  <si>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</si>
  <si>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</si>
  <si>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</si>
  <si>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</si>
  <si>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</si>
  <si>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</si>
  <si>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</si>
  <si>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</si>
  <si>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</si>
  <si>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</si>
  <si>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</si>
  <si>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</si>
  <si>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</si>
  <si>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</si>
  <si>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</si>
  <si>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</si>
  <si>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</si>
  <si>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</si>
  <si>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</si>
  <si>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</si>
  <si>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</si>
  <si>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</si>
  <si>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</si>
  <si>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</si>
  <si>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</si>
  <si>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</si>
  <si>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</si>
  <si>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</si>
  <si>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</si>
  <si>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</si>
  <si>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</si>
  <si>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</si>
  <si>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</si>
  <si>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</si>
  <si>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</si>
  <si>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</si>
  <si>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</si>
  <si>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</si>
  <si>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</si>
  <si>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</si>
  <si>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</si>
  <si>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</si>
  <si>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</si>
  <si>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</si>
  <si>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</si>
  <si>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</si>
  <si>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</si>
  <si>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</si>
  <si>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</si>
  <si>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</si>
  <si>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</si>
  <si>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</si>
  <si>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</si>
  <si>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</si>
  <si>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</si>
  <si>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</si>
  <si>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</si>
  <si>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</si>
  <si>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</si>
  <si>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</si>
  <si>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</si>
  <si>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</si>
  <si>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</si>
  <si>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</si>
  <si>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</si>
  <si>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</si>
  <si>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</si>
  <si>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</si>
  <si>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</si>
  <si>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</si>
  <si>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</si>
  <si>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</si>
  <si>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</si>
  <si>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</si>
  <si>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</si>
  <si>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</si>
  <si>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</si>
  <si>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</si>
  <si>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</si>
  <si>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</si>
  <si>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</si>
  <si>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</si>
  <si>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</si>
  <si>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</si>
  <si>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</si>
  <si>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</si>
  <si>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</si>
  <si>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</si>
  <si>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</si>
  <si>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</si>
  <si>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</si>
  <si>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</si>
  <si>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</si>
  <si>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</si>
  <si>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</si>
  <si>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</si>
  <si>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</si>
  <si>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</si>
  <si>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</si>
  <si>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</si>
  <si>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</si>
  <si>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</si>
  <si>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</si>
  <si>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</si>
  <si>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</si>
  <si>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</si>
  <si>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</si>
  <si>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</si>
  <si>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</si>
  <si>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</si>
  <si>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</si>
  <si>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</si>
  <si>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</si>
  <si>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</si>
  <si>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</si>
  <si>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</si>
  <si>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</si>
  <si>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</si>
  <si>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</si>
  <si>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</si>
  <si>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</si>
  <si>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</si>
  <si>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</si>
  <si>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</si>
  <si>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</si>
  <si>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</si>
  <si>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</si>
  <si>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</si>
  <si>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</si>
  <si>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</si>
  <si>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</si>
  <si>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</si>
  <si>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</si>
  <si>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</si>
  <si>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</si>
  <si>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</si>
  <si>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</si>
  <si>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</si>
  <si>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</si>
  <si>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</si>
  <si>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</si>
  <si>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</si>
  <si>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</si>
  <si>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</si>
  <si>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</si>
  <si>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</si>
  <si>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</si>
  <si>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</si>
  <si>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</si>
  <si>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</si>
  <si>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</si>
  <si>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</si>
  <si>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</si>
  <si>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</si>
  <si>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</si>
  <si>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</si>
  <si>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</si>
  <si>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</si>
  <si>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</si>
  <si>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</si>
  <si>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</si>
  <si>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</si>
  <si>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</si>
  <si>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</si>
  <si>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</si>
  <si>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</si>
  <si>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</si>
  <si>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</si>
  <si>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</si>
  <si>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</si>
  <si>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</si>
  <si>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</si>
  <si>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</si>
  <si>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</si>
  <si>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</si>
  <si>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</si>
  <si>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</si>
  <si>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</si>
  <si>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</si>
  <si>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</si>
  <si>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</si>
  <si>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</si>
  <si>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</si>
  <si>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</si>
  <si>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</si>
  <si>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</si>
  <si>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</si>
  <si>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</si>
  <si>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</si>
  <si>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</si>
  <si>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</si>
  <si>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</si>
  <si>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</si>
  <si>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</si>
  <si>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</si>
  <si>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</si>
  <si>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</si>
  <si>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</si>
  <si>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</si>
  <si>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</si>
  <si>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</si>
  <si>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</si>
  <si>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</si>
  <si>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</si>
  <si>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</si>
  <si>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</si>
  <si>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</si>
  <si>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</si>
  <si>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</si>
  <si>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</si>
  <si>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</si>
  <si>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</si>
  <si>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</si>
  <si>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</si>
  <si>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</si>
  <si>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</si>
  <si>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</si>
  <si>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</si>
  <si>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</si>
  <si>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</si>
  <si>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</si>
  <si>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</si>
  <si>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</si>
  <si>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</si>
  <si>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</si>
  <si>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</si>
  <si>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</si>
  <si>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</si>
  <si>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</si>
  <si>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</si>
  <si>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</si>
  <si>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</si>
  <si>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</si>
  <si>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</si>
  <si>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</si>
  <si>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</si>
  <si>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</si>
  <si>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</si>
  <si>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</si>
  <si>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</si>
  <si>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</si>
  <si>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</si>
  <si>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</si>
  <si>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</si>
  <si>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</si>
  <si>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</si>
  <si>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</si>
  <si>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</si>
  <si>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</si>
  <si>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</si>
  <si>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</si>
  <si>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</si>
  <si>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</si>
  <si>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</si>
  <si>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</si>
  <si>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</si>
  <si>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</si>
  <si>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</si>
  <si>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</si>
  <si>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</si>
  <si>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</si>
  <si>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</si>
  <si>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</si>
  <si>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</si>
  <si>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</si>
  <si>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</si>
  <si>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</si>
  <si>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</si>
  <si>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</si>
  <si>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</si>
  <si>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</si>
  <si>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</si>
  <si>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</si>
  <si>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</si>
  <si>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</si>
  <si>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</si>
  <si>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</si>
  <si>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</si>
  <si>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</si>
  <si>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</si>
  <si>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</si>
  <si>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</si>
  <si>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</si>
  <si>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</si>
  <si>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</si>
  <si>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</si>
  <si>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</si>
  <si>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</si>
  <si>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</si>
  <si>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</si>
  <si>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</si>
  <si>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</si>
  <si>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</si>
  <si>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</si>
  <si>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</si>
  <si>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</si>
  <si>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</si>
  <si>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</si>
  <si>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</si>
  <si>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</si>
  <si>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</si>
  <si>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</si>
  <si>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</si>
  <si>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</si>
  <si>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</si>
  <si>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</si>
  <si>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</si>
  <si>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</si>
  <si>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</si>
  <si>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</si>
  <si>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</si>
  <si>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</si>
  <si>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</si>
  <si>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</si>
  <si>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</si>
  <si>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</si>
  <si>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</si>
  <si>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</si>
  <si>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</si>
  <si>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</si>
  <si>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</si>
  <si>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</si>
  <si>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</si>
  <si>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</si>
  <si>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</si>
  <si>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</si>
  <si>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</si>
  <si>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</si>
  <si>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</si>
  <si>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</si>
  <si>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</si>
  <si>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</si>
  <si>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</si>
  <si>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</si>
  <si>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</si>
  <si>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</si>
  <si>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</si>
  <si>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</si>
  <si>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</si>
  <si>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</si>
  <si>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</si>
  <si>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</si>
  <si>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</si>
  <si>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</si>
  <si>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</si>
  <si>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</si>
  <si>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</si>
  <si>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</si>
  <si>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</si>
  <si>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</si>
  <si>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</si>
  <si>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</si>
  <si>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</si>
  <si>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</si>
  <si>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</si>
  <si>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</si>
  <si>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</si>
  <si>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</si>
  <si>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</si>
  <si>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</si>
  <si>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</si>
  <si>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</si>
  <si>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</si>
  <si>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</si>
  <si>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</si>
  <si>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</si>
  <si>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</si>
  <si>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</si>
  <si>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</si>
  <si>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</si>
  <si>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</si>
  <si>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</si>
  <si>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</si>
  <si>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</si>
  <si>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</si>
  <si>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</si>
  <si>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</si>
  <si>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</si>
  <si>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</si>
  <si>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</si>
  <si>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</si>
  <si>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</si>
  <si>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</si>
  <si>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</si>
  <si>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</si>
  <si>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</si>
  <si>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</si>
  <si>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</si>
  <si>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</si>
  <si>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</si>
  <si>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</si>
  <si>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</si>
  <si>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</si>
  <si>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</si>
  <si>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</si>
  <si>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</si>
  <si>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</si>
  <si>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</si>
  <si>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</si>
  <si>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</si>
  <si>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</si>
  <si>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</si>
  <si>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</si>
  <si>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</si>
  <si>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</si>
  <si>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</si>
  <si>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</si>
  <si>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</si>
  <si>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</si>
  <si>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</si>
  <si>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</si>
  <si>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</si>
  <si>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</si>
  <si>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</si>
  <si>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</si>
  <si>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</si>
  <si>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</si>
  <si>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</si>
  <si>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</si>
  <si>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</si>
  <si>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</si>
  <si>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</si>
  <si>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</si>
  <si>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</si>
  <si>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</si>
  <si>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</si>
  <si>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</si>
  <si>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</si>
  <si>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</si>
  <si>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</si>
  <si>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</si>
  <si>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</si>
  <si>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</si>
  <si>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</si>
  <si>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</si>
  <si>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</si>
  <si>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</si>
  <si>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</si>
  <si>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</si>
  <si>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</si>
  <si>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</si>
  <si>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</si>
  <si>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</si>
  <si>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</si>
  <si>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</si>
  <si>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</si>
  <si>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</si>
  <si>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</si>
  <si>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</si>
  <si>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</si>
  <si>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</si>
  <si>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</si>
  <si>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</si>
  <si>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</si>
  <si>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</si>
  <si>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</si>
  <si>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</si>
  <si>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</si>
  <si>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</si>
  <si>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</si>
  <si>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</si>
  <si>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</si>
  <si>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</si>
  <si>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</si>
  <si>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</si>
  <si>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</si>
  <si>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</si>
  <si>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</si>
  <si>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</si>
  <si>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</si>
  <si>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</si>
  <si>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</si>
  <si>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</si>
  <si>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</si>
  <si>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</si>
  <si>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</si>
  <si>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</si>
  <si>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</si>
  <si>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</si>
  <si>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</si>
  <si>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</si>
  <si>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</si>
  <si>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</si>
  <si>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</si>
  <si>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</si>
  <si>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</si>
  <si>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</si>
  <si>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</si>
  <si>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</si>
  <si>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</si>
  <si>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</si>
  <si>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</si>
  <si>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</si>
  <si>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</si>
  <si>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</si>
  <si>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</si>
  <si>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</si>
  <si>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</si>
  <si>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</si>
  <si>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</si>
  <si>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</si>
  <si>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</si>
  <si>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</si>
  <si>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</si>
  <si>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</si>
  <si>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</si>
  <si>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</si>
  <si>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</si>
  <si>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</si>
  <si>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</si>
  <si>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</si>
  <si>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</si>
  <si>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</si>
  <si>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</si>
  <si>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</si>
  <si>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</si>
  <si>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</si>
  <si>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</si>
  <si>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</si>
  <si>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</si>
  <si>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</si>
  <si>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</si>
  <si>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</si>
  <si>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</si>
  <si>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</si>
  <si>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</si>
  <si>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</si>
  <si>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</si>
  <si>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</si>
  <si>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</si>
  <si>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</si>
  <si>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</si>
  <si>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</si>
  <si>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</si>
  <si>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</si>
  <si>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</si>
  <si>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</si>
  <si>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</si>
  <si>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</si>
  <si>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</si>
  <si>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</si>
  <si>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</si>
  <si>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</si>
  <si>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</si>
  <si>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</si>
  <si>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</si>
  <si>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</si>
  <si>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</si>
  <si>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</si>
  <si>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</si>
  <si>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</si>
  <si>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</si>
  <si>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</si>
  <si>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</si>
  <si>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</si>
  <si>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</si>
  <si>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</si>
  <si>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</si>
  <si>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</si>
  <si>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</si>
  <si>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</si>
  <si>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</si>
  <si>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</si>
  <si>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</si>
  <si>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</si>
  <si>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</si>
  <si>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</si>
  <si>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</si>
  <si>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</si>
  <si>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</si>
  <si>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</si>
  <si>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</si>
  <si>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</si>
  <si>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</si>
  <si>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</si>
  <si>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</si>
  <si>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</si>
  <si>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</si>
  <si>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</si>
  <si>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</si>
  <si>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</si>
  <si>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</si>
  <si>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</si>
  <si>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</si>
  <si>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</si>
  <si>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</si>
  <si>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</si>
  <si>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</si>
  <si>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</si>
  <si>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</si>
  <si>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</si>
  <si>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</si>
  <si>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</si>
  <si>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</si>
  <si>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</si>
  <si>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</si>
  <si>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</si>
  <si>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</si>
  <si>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</si>
  <si>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</si>
  <si>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</si>
  <si>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</si>
  <si>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</si>
  <si>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</si>
  <si>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</si>
  <si>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</si>
  <si>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</si>
  <si>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</si>
  <si>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</si>
  <si>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</si>
  <si>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</si>
  <si>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</si>
  <si>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</si>
  <si>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</si>
  <si>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</si>
  <si>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</si>
  <si>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</si>
  <si>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</si>
  <si>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</si>
  <si>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</si>
  <si>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</si>
  <si>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</si>
  <si>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</si>
  <si>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</si>
  <si>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</si>
  <si>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</si>
  <si>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</si>
  <si>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</si>
  <si>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</si>
  <si>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</si>
  <si>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</si>
  <si>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</si>
  <si>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</si>
  <si>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</si>
  <si>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</si>
  <si>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</si>
  <si>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</si>
  <si>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</si>
  <si>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</si>
  <si>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</si>
  <si>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</si>
  <si>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</si>
  <si>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</si>
  <si>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</si>
  <si>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</si>
  <si>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</si>
  <si>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</si>
  <si>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</si>
  <si>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</si>
  <si>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</si>
  <si>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</si>
  <si>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</si>
  <si>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</si>
  <si>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</si>
  <si>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</si>
  <si>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</si>
  <si>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</si>
  <si>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</si>
  <si>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</si>
  <si>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</si>
  <si>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</si>
  <si>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</si>
  <si>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</si>
  <si>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</si>
  <si>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</si>
  <si>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</si>
  <si>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</si>
  <si>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</si>
  <si>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</si>
  <si>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</si>
  <si>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</si>
  <si>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</si>
  <si>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</si>
  <si>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</si>
  <si>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</si>
  <si>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</si>
  <si>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</si>
  <si>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</si>
  <si>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</si>
  <si>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</si>
  <si>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</si>
  <si>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</si>
  <si>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</si>
  <si>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</si>
  <si>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</si>
  <si>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</si>
  <si>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</si>
  <si>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</si>
  <si>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</si>
  <si>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</si>
  <si>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</si>
  <si>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</si>
  <si>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</si>
  <si>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</si>
  <si>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</si>
  <si>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</si>
  <si>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</si>
  <si>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</si>
  <si>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</si>
  <si>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</si>
  <si>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</si>
  <si>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</si>
  <si>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</si>
  <si>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</si>
  <si>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</si>
  <si>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</si>
  <si>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</si>
  <si>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</si>
  <si>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</si>
  <si>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</si>
  <si>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</si>
  <si>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</si>
  <si>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</si>
  <si>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</si>
  <si>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</si>
  <si>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</si>
  <si>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</si>
  <si>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</si>
  <si>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</si>
  <si>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</si>
  <si>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</si>
  <si>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</si>
  <si>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</si>
  <si>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</si>
  <si>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</si>
  <si>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</si>
  <si>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</si>
  <si>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</si>
  <si>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</si>
  <si>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</si>
  <si>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</si>
  <si>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</si>
  <si>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</si>
  <si>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</si>
  <si>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</si>
  <si>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</si>
  <si>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</si>
  <si>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</si>
  <si>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</si>
  <si>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</si>
  <si>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</si>
  <si>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</si>
  <si>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</si>
  <si>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</si>
  <si>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</si>
  <si>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</si>
  <si>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</si>
  <si>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</si>
  <si>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</si>
  <si>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</si>
  <si>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</si>
  <si>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</si>
  <si>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</si>
  <si>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</si>
  <si>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</si>
  <si>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</si>
  <si>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</si>
  <si>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</si>
  <si>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</si>
  <si>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</si>
  <si>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</si>
  <si>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</si>
  <si>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</si>
  <si>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</si>
  <si>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</si>
  <si>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</si>
  <si>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</si>
  <si>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</si>
  <si>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</si>
  <si>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</si>
  <si>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</si>
  <si>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</si>
  <si>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</si>
  <si>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</si>
  <si>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</si>
  <si>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</si>
  <si>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</si>
  <si>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</si>
  <si>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</si>
  <si>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</si>
  <si>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</si>
  <si>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</si>
  <si>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</si>
  <si>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</si>
  <si>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</si>
  <si>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</si>
  <si>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</si>
  <si>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</si>
  <si>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</si>
  <si>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</si>
  <si>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</si>
  <si>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</si>
  <si>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</si>
  <si>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</si>
  <si>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</si>
  <si>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</si>
  <si>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</si>
  <si>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</si>
  <si>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</si>
  <si>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</si>
  <si>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</si>
  <si>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</si>
  <si>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</si>
  <si>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</si>
  <si>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</si>
  <si>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</si>
  <si>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</si>
  <si>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</si>
  <si>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</si>
  <si>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</si>
  <si>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</si>
  <si>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</si>
  <si>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</si>
  <si>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</si>
  <si>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</si>
  <si>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</si>
  <si>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</si>
  <si>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</si>
  <si>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</si>
  <si>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</si>
  <si>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</si>
  <si>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</si>
  <si>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</si>
  <si>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</si>
  <si>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</si>
  <si>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</si>
  <si>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</si>
  <si>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</si>
  <si>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</si>
  <si>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</si>
  <si>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</si>
  <si>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</si>
  <si>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</si>
  <si>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</si>
  <si>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</si>
  <si>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</si>
  <si>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</si>
  <si>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</si>
  <si>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</si>
  <si>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</si>
  <si>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</si>
  <si>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</si>
  <si>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</si>
  <si>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</si>
  <si>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</si>
  <si>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</si>
  <si>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</si>
  <si>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</si>
  <si>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</si>
  <si>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</si>
  <si>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</si>
  <si>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</si>
  <si>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</si>
  <si>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</si>
  <si>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</si>
  <si>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</si>
  <si>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</si>
  <si>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</si>
  <si>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</si>
  <si>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</si>
  <si>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</si>
  <si>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</si>
  <si>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</si>
  <si>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</si>
  <si>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</si>
  <si>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</si>
  <si>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</si>
  <si>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</si>
  <si>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</si>
  <si>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</si>
  <si>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</si>
  <si>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</si>
  <si>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</si>
  <si>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</si>
  <si>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</si>
  <si>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</si>
  <si>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</si>
  <si>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</si>
  <si>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</si>
  <si>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</si>
  <si>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</si>
  <si>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</si>
  <si>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</si>
  <si>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</si>
  <si>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</si>
  <si>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</si>
  <si>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</si>
  <si>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</si>
  <si>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</si>
  <si>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</si>
  <si>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</si>
  <si>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</si>
  <si>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</si>
  <si>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</si>
  <si>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</si>
  <si>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</si>
  <si>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</si>
  <si>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</si>
  <si>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</si>
  <si>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</si>
  <si>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</si>
  <si>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</si>
  <si>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</si>
  <si>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</si>
  <si>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</si>
  <si>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</si>
  <si>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</si>
  <si>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</si>
  <si>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</si>
  <si>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</si>
  <si>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</si>
  <si>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</si>
  <si>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</si>
  <si>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</si>
  <si>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</si>
  <si>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</si>
  <si>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</si>
  <si>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</si>
  <si>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</si>
  <si>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</si>
  <si>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</si>
  <si>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</si>
  <si>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</si>
  <si>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</si>
  <si>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</si>
  <si>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</si>
  <si>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</si>
  <si>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</si>
  <si>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</si>
  <si>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</si>
  <si>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</si>
  <si>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</si>
  <si>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</si>
  <si>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</si>
  <si>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</si>
  <si>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</si>
  <si>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</si>
  <si>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</si>
  <si>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</si>
  <si>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</si>
  <si>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</si>
  <si>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</si>
  <si>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</si>
  <si>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</si>
  <si>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</si>
  <si>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</si>
  <si>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</si>
  <si>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</si>
  <si>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</si>
  <si>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</si>
  <si>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</si>
  <si>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</si>
  <si>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</si>
  <si>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</si>
  <si>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</si>
  <si>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</si>
  <si>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</si>
  <si>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</si>
  <si>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</si>
  <si>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</si>
  <si>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</si>
  <si>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</si>
  <si>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</si>
  <si>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</si>
  <si>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</si>
  <si>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</si>
  <si>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</si>
  <si>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</si>
  <si>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</si>
  <si>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</si>
  <si>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</si>
  <si>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</si>
  <si>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</si>
  <si>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</si>
  <si>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</si>
  <si>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</si>
  <si>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</si>
  <si>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</si>
  <si>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</si>
  <si>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</si>
  <si>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</si>
  <si>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</si>
  <si>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</si>
  <si>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</si>
  <si>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</si>
  <si>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</si>
  <si>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</si>
  <si>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</si>
  <si>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</si>
  <si>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</si>
  <si>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</si>
  <si>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</si>
  <si>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</si>
  <si>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</si>
  <si>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</si>
  <si>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</si>
  <si>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</si>
  <si>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</si>
  <si>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</si>
  <si>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</si>
  <si>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</si>
  <si>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</si>
  <si>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</si>
  <si>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</si>
  <si>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</si>
  <si>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</si>
  <si>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</si>
  <si>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</si>
  <si>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</si>
  <si>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</si>
  <si>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</si>
  <si>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</si>
  <si>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</si>
  <si>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</si>
  <si>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</si>
  <si>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</si>
  <si>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</si>
  <si>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</si>
  <si>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</si>
  <si>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</si>
  <si>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</si>
  <si>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</si>
  <si>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</si>
  <si>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</si>
  <si>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</si>
  <si>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</si>
  <si>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</si>
  <si>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</si>
  <si>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</si>
  <si>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</si>
  <si>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</si>
  <si>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</si>
  <si>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</si>
  <si>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</si>
  <si>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</si>
  <si>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</si>
  <si>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</si>
  <si>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</si>
  <si>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</si>
  <si>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</si>
  <si>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</si>
  <si>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</si>
  <si>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</si>
  <si>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</si>
  <si>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</si>
  <si>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</si>
  <si>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</si>
  <si>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</si>
  <si>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</si>
  <si>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</si>
  <si>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</si>
  <si>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</si>
  <si>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</si>
  <si>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</si>
  <si>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</si>
  <si>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</si>
  <si>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</si>
  <si>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</si>
  <si>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</si>
  <si>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</si>
  <si>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</si>
  <si>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</si>
  <si>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</si>
  <si>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</si>
  <si>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</si>
  <si>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</si>
  <si>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</si>
  <si>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</si>
  <si>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</si>
  <si>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</si>
  <si>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</si>
  <si>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</si>
  <si>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</si>
  <si>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</si>
  <si>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</si>
  <si>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</si>
  <si>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</si>
  <si>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</si>
  <si>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</si>
  <si>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</si>
  <si>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</si>
  <si>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</si>
  <si>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</si>
  <si>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</si>
  <si>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</si>
  <si>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</si>
  <si>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</si>
  <si>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</si>
  <si>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</si>
  <si>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</si>
  <si>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</si>
  <si>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</si>
  <si>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</si>
  <si>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</si>
  <si>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</si>
  <si>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</si>
  <si>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</si>
  <si>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</si>
  <si>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</si>
  <si>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</si>
  <si>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</si>
  <si>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</si>
  <si>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</si>
  <si>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</si>
  <si>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</si>
  <si>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</si>
  <si>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</si>
  <si>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</si>
  <si>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</si>
  <si>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</si>
  <si>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</si>
  <si>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</si>
  <si>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</si>
  <si>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</si>
  <si>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</si>
  <si>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</si>
  <si>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</si>
  <si>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</si>
  <si>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</si>
  <si>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</si>
  <si>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</si>
  <si>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</si>
  <si>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</si>
  <si>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</si>
  <si>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</si>
  <si>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</si>
  <si>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</si>
  <si>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</si>
  <si>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</si>
  <si>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</si>
  <si>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</si>
  <si>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</si>
  <si>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</si>
  <si>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</si>
  <si>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</si>
  <si>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</si>
  <si>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</si>
  <si>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</si>
  <si>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</si>
  <si>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</si>
  <si>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</si>
  <si>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</si>
  <si>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</si>
  <si>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</si>
  <si>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</si>
  <si>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</si>
  <si>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</si>
  <si>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</si>
  <si>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</si>
  <si>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</si>
  <si>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</si>
  <si>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</si>
  <si>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</si>
  <si>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</si>
  <si>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</si>
  <si>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</si>
  <si>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</si>
  <si>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</si>
  <si>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</si>
  <si>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</si>
  <si>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</si>
  <si>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</si>
  <si>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</si>
  <si>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</si>
  <si>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</si>
  <si>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</si>
  <si>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</si>
  <si>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</si>
  <si>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</si>
  <si>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</si>
  <si>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</si>
  <si>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</si>
  <si>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</si>
  <si>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</si>
  <si>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</si>
  <si>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</si>
  <si>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</si>
  <si>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</si>
  <si>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</si>
  <si>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</si>
  <si>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</si>
  <si>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</si>
  <si>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</si>
  <si>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</si>
  <si>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</si>
  <si>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</si>
  <si>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</si>
  <si>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</si>
  <si>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</si>
  <si>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</si>
  <si>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</si>
  <si>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</si>
  <si>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</si>
  <si>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</si>
  <si>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</si>
  <si>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</si>
  <si>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</si>
  <si>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</si>
  <si>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</si>
  <si>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</si>
  <si>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</si>
  <si>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</si>
  <si>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</si>
  <si>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</si>
  <si>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</si>
  <si>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</si>
  <si>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</si>
  <si>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</si>
  <si>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</si>
  <si>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</si>
  <si>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</si>
  <si>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</si>
  <si>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</si>
  <si>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</si>
  <si>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</si>
  <si>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</si>
  <si>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</si>
  <si>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</si>
  <si>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</si>
  <si>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</si>
  <si>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</si>
  <si>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</si>
  <si>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</si>
  <si>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</si>
  <si>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</si>
  <si>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</si>
  <si>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</si>
  <si>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</si>
  <si>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</si>
  <si>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</si>
  <si>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</si>
  <si>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</si>
  <si>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</si>
  <si>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</si>
  <si>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</si>
  <si>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</si>
  <si>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</si>
  <si>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</si>
  <si>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</si>
  <si>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</si>
  <si>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</si>
  <si>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</si>
  <si>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</si>
  <si>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</si>
  <si>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</si>
  <si>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</si>
  <si>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</si>
  <si>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</si>
  <si>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</si>
  <si>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</si>
  <si>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</si>
  <si>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</si>
  <si>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</si>
  <si>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</si>
  <si>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</si>
  <si>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</si>
  <si>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</si>
  <si>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</si>
  <si>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</si>
  <si>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</si>
  <si>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</si>
  <si>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</si>
  <si>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</si>
  <si>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</si>
  <si>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</si>
  <si>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</si>
  <si>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</si>
  <si>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</si>
  <si>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</si>
  <si>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</si>
  <si>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</si>
  <si>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</si>
  <si>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</si>
  <si>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</si>
  <si>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</si>
  <si>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</si>
  <si>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</si>
  <si>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</si>
  <si>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</si>
  <si>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</si>
  <si>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</si>
  <si>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</si>
  <si>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</si>
  <si>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</si>
  <si>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</si>
  <si>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</si>
  <si>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</si>
  <si>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</si>
  <si>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</si>
  <si>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</si>
  <si>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</si>
  <si>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</si>
  <si>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</si>
  <si>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</si>
  <si>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</si>
  <si>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</si>
  <si>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</si>
  <si>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</si>
  <si>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</si>
  <si>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</si>
  <si>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</si>
  <si>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</si>
  <si>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</si>
  <si>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</si>
  <si>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</si>
  <si>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</si>
  <si>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</si>
  <si>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</si>
  <si>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</si>
  <si>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</si>
  <si>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</si>
  <si>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</si>
  <si>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</si>
  <si>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</si>
  <si>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</si>
  <si>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</si>
  <si>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</si>
  <si>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</si>
  <si>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</si>
  <si>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</si>
  <si>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</si>
  <si>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</si>
  <si>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</si>
  <si>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</si>
  <si>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</si>
  <si>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</si>
  <si>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</si>
  <si>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</si>
  <si>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</si>
  <si>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</si>
  <si>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</si>
  <si>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</si>
  <si>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</si>
  <si>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</si>
  <si>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</si>
  <si>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</si>
  <si>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</si>
  <si>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</si>
  <si>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</si>
  <si>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</si>
  <si>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</si>
  <si>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</si>
  <si>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</si>
  <si>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</si>
  <si>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</si>
  <si>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</si>
  <si>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</si>
  <si>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</si>
  <si>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</si>
  <si>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</si>
  <si>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</si>
  <si>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</si>
  <si>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</si>
  <si>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</si>
  <si>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</si>
  <si>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</si>
  <si>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</si>
  <si>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</si>
  <si>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</si>
  <si>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</si>
  <si>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</si>
  <si>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</si>
  <si>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</si>
  <si>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</si>
  <si>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</si>
  <si>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</si>
  <si>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</si>
  <si>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</si>
  <si>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</si>
  <si>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</si>
  <si>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</si>
  <si>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</si>
  <si>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</si>
  <si>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</si>
  <si>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</si>
  <si>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</si>
  <si>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</si>
  <si>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</si>
  <si>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</si>
  <si>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</si>
  <si>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</si>
  <si>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</si>
  <si>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</si>
  <si>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</si>
  <si>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</si>
  <si>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</si>
  <si>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</si>
  <si>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</si>
  <si>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</si>
  <si>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</si>
  <si>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</si>
  <si>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</si>
  <si>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</si>
  <si>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</si>
  <si>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</si>
  <si>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</si>
  <si>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</si>
  <si>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</si>
  <si>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</si>
  <si>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</si>
  <si>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</si>
  <si>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</si>
  <si>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</si>
  <si>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</si>
  <si>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</si>
  <si>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</si>
  <si>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</si>
  <si>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</si>
  <si>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</si>
  <si>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</si>
  <si>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</si>
  <si>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</si>
  <si>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</si>
  <si>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</si>
  <si>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</si>
  <si>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</si>
  <si>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</si>
  <si>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</si>
  <si>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</si>
  <si>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</si>
  <si>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</si>
  <si>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</si>
  <si>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</si>
  <si>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</si>
  <si>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</si>
  <si>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</si>
  <si>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</si>
  <si>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</si>
  <si>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</si>
  <si>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</si>
  <si>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</si>
  <si>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</si>
  <si>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</si>
  <si>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</si>
  <si>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</si>
  <si>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</si>
  <si>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</si>
  <si>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</si>
  <si>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</si>
  <si>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</si>
  <si>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</si>
  <si>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</si>
  <si>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</si>
  <si>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</si>
  <si>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</si>
  <si>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</si>
  <si>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</si>
  <si>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</si>
  <si>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</si>
  <si>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</si>
  <si>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</si>
  <si>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</si>
  <si>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</si>
  <si>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</si>
  <si>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</si>
  <si>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</si>
  <si>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</si>
  <si>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</si>
  <si>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</si>
  <si>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</si>
  <si>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</si>
  <si>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</si>
  <si>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</si>
  <si>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</si>
  <si>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</si>
  <si>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</si>
  <si>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</si>
  <si>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</si>
  <si>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</si>
  <si>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</si>
  <si>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</si>
  <si>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</si>
  <si>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</si>
  <si>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</si>
  <si>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</si>
  <si>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</si>
  <si>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</si>
  <si>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</si>
  <si>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</si>
  <si>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</si>
  <si>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</si>
  <si>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</si>
  <si>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</si>
  <si>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</si>
  <si>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</si>
  <si>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</si>
  <si>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</si>
  <si>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</si>
  <si>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</si>
  <si>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</si>
  <si>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</si>
  <si>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</si>
  <si>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</si>
  <si>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</si>
  <si>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</si>
  <si>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</si>
  <si>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</si>
  <si>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</si>
  <si>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</si>
  <si>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</si>
  <si>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</si>
  <si>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</si>
  <si>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</si>
  <si>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</si>
  <si>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</si>
  <si>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</si>
  <si>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</si>
  <si>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</si>
  <si>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</si>
  <si>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</si>
  <si>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</si>
  <si>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</si>
  <si>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</si>
  <si>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</si>
  <si>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</si>
  <si>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</si>
  <si>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</si>
  <si>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</si>
  <si>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</si>
  <si>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</si>
  <si>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</si>
  <si>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</si>
  <si>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</si>
  <si>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</si>
  <si>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</si>
  <si>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</si>
  <si>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</si>
  <si>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</si>
  <si>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</si>
  <si>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</si>
  <si>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</si>
  <si>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</si>
  <si>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</si>
  <si>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</si>
  <si>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</si>
  <si>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</si>
  <si>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</si>
  <si>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</si>
  <si>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</si>
  <si>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</si>
  <si>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</si>
  <si>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</si>
  <si>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</si>
  <si>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</si>
  <si>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</si>
  <si>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</si>
  <si>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</si>
  <si>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</si>
  <si>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</si>
  <si>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</si>
  <si>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</si>
  <si>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</si>
  <si>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</si>
  <si>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</si>
  <si>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</si>
  <si>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</si>
  <si>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</si>
  <si>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</si>
  <si>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</si>
  <si>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</si>
  <si>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</si>
  <si>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</si>
  <si>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</si>
  <si>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</si>
  <si>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</si>
  <si>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</si>
  <si>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</si>
  <si>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</si>
  <si>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</si>
  <si>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</si>
  <si>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</si>
  <si>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</si>
  <si>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</si>
  <si>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</si>
  <si>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</si>
  <si>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</si>
  <si>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</si>
  <si>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</si>
  <si>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</si>
  <si>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</si>
  <si>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</si>
  <si>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</si>
  <si>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</si>
  <si>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</si>
  <si>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</si>
  <si>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</si>
  <si>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</si>
  <si>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</si>
  <si>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</si>
  <si>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</si>
  <si>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</si>
  <si>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</si>
  <si>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</si>
  <si>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</si>
  <si>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</si>
  <si>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</si>
  <si>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</si>
  <si>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</si>
  <si>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</si>
  <si>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</si>
  <si>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</si>
  <si>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</si>
  <si>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</si>
  <si>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</si>
  <si>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</si>
  <si>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</si>
  <si>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</si>
  <si>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</si>
  <si>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</si>
  <si>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</si>
  <si>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</si>
  <si>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</si>
  <si>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</si>
  <si>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</si>
  <si>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</si>
  <si>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</si>
  <si>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</si>
  <si>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</si>
  <si>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</si>
  <si>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</si>
  <si>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</si>
  <si>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</si>
  <si>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</si>
  <si>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</si>
  <si>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</si>
  <si>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</si>
  <si>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</si>
  <si>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</si>
  <si>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</si>
  <si>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</si>
  <si>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</si>
  <si>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</si>
  <si>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</si>
  <si>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</si>
  <si>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</si>
  <si>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</si>
  <si>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</si>
  <si>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</si>
  <si>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</si>
  <si>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</si>
  <si>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</si>
  <si>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</si>
  <si>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</si>
  <si>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</si>
  <si>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</si>
  <si>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</si>
  <si>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</si>
  <si>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</si>
  <si>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</si>
  <si>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</si>
  <si>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</si>
  <si>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</si>
  <si>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</si>
  <si>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</si>
  <si>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</si>
  <si>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</si>
  <si>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</si>
  <si>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</si>
  <si>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</si>
  <si>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</si>
  <si>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</si>
  <si>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</si>
  <si>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</si>
  <si>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</si>
  <si>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</si>
  <si>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</si>
  <si>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</si>
  <si>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</si>
  <si>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</si>
  <si>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</si>
  <si>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</si>
  <si>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</si>
  <si>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</si>
  <si>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</si>
  <si>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</si>
  <si>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</si>
  <si>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</si>
  <si>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</si>
  <si>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</si>
  <si>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</si>
  <si>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</si>
  <si>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</si>
  <si>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</si>
  <si>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</si>
  <si>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</si>
  <si>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</si>
  <si>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</si>
  <si>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</si>
  <si>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</si>
  <si>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</si>
  <si>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</si>
  <si>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</si>
  <si>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</si>
  <si>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</si>
  <si>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</si>
  <si>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</si>
  <si>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</si>
  <si>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</si>
  <si>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</si>
  <si>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</si>
  <si>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</si>
  <si>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</si>
  <si>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</si>
  <si>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</si>
  <si>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</si>
  <si>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</si>
  <si>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</si>
  <si>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</si>
  <si>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</si>
  <si>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</si>
  <si>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</si>
  <si>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</si>
  <si>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</si>
  <si>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</si>
  <si>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</si>
  <si>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</si>
  <si>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</si>
  <si>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</si>
  <si>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</si>
  <si>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</si>
  <si>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</si>
  <si>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</si>
  <si>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</si>
  <si>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</si>
  <si>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</si>
  <si>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</si>
  <si>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</si>
  <si>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</si>
  <si>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</si>
  <si>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</si>
  <si>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</si>
  <si>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</si>
  <si>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</si>
  <si>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</si>
  <si>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</si>
  <si>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</si>
  <si>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</si>
  <si>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</si>
  <si>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</si>
  <si>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</si>
  <si>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</si>
  <si>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</si>
  <si>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</si>
  <si>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</si>
  <si>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</si>
  <si>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</si>
  <si>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</si>
  <si>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</si>
  <si>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</si>
  <si>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</si>
  <si>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</si>
  <si>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</si>
  <si>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</si>
  <si>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</si>
  <si>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</si>
  <si>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</si>
  <si>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</si>
  <si>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</si>
  <si>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</si>
  <si>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</si>
  <si>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</si>
  <si>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</si>
  <si>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</si>
  <si>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</si>
  <si>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</si>
  <si>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</si>
  <si>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</si>
  <si>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</si>
  <si>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</si>
  <si>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</si>
  <si>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</si>
  <si>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</si>
  <si>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</si>
  <si>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</si>
  <si>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</si>
  <si>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</si>
  <si>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</si>
  <si>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</si>
  <si>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</si>
  <si>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</si>
  <si>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</si>
  <si>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</si>
  <si>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</si>
  <si>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</si>
  <si>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</si>
  <si>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</si>
  <si>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</si>
  <si>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</si>
  <si>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</si>
  <si>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</si>
  <si>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</si>
  <si>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</si>
  <si>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</si>
  <si>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</si>
  <si>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</si>
  <si>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</si>
  <si>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</si>
  <si>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</si>
  <si>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</si>
  <si>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</si>
  <si>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</si>
  <si>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</si>
  <si>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</si>
  <si>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</si>
  <si>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</si>
  <si>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</si>
  <si>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</si>
  <si>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</si>
  <si>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</si>
  <si>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</si>
  <si>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</si>
  <si>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</si>
  <si>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</si>
  <si>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</si>
  <si>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</si>
  <si>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</si>
  <si>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</si>
  <si>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</si>
  <si>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</si>
  <si>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</si>
  <si>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</si>
  <si>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</si>
  <si>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</si>
  <si>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</si>
  <si>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</si>
  <si>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</si>
  <si>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</si>
  <si>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</si>
  <si>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</si>
  <si>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</si>
  <si>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</si>
  <si>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</si>
  <si>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</si>
  <si>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</si>
  <si>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</si>
  <si>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</si>
  <si>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</si>
  <si>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</si>
  <si>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</si>
  <si>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</si>
  <si>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</si>
  <si>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</si>
  <si>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</si>
  <si>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</si>
  <si>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</si>
  <si>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</si>
  <si>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</si>
  <si>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</si>
  <si>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</si>
  <si>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</si>
  <si>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</si>
  <si>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</si>
  <si>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</si>
  <si>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</si>
  <si>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</si>
  <si>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</si>
  <si>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</si>
  <si>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</si>
  <si>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</si>
  <si>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</si>
  <si>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</si>
  <si>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</si>
  <si>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</si>
  <si>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</si>
  <si>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</si>
  <si>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</si>
  <si>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</si>
  <si>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</si>
  <si>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</si>
  <si>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</si>
  <si>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</si>
  <si>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</si>
  <si>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</si>
  <si>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</si>
  <si>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</si>
  <si>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</si>
  <si>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</si>
  <si>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</si>
  <si>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</si>
  <si>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</si>
  <si>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</si>
  <si>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</si>
  <si>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</si>
  <si>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</si>
  <si>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</si>
  <si>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</si>
  <si>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</si>
  <si>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</si>
  <si>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</si>
  <si>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</si>
  <si>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</si>
  <si>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</si>
  <si>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</si>
  <si>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</si>
  <si>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</si>
  <si>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</si>
  <si>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</si>
  <si>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</si>
  <si>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</si>
  <si>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</si>
  <si>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</si>
  <si>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</si>
  <si>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</si>
  <si>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</si>
  <si>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</si>
  <si>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</si>
  <si>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</si>
  <si>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</si>
  <si>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</si>
  <si>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</si>
  <si>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</si>
  <si>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</si>
  <si>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</si>
  <si>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</si>
  <si>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</si>
  <si>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</si>
  <si>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</si>
  <si>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</si>
  <si>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</si>
  <si>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</si>
  <si>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</si>
  <si>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</si>
  <si>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</si>
  <si>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</si>
  <si>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</si>
  <si>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</si>
  <si>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</si>
  <si>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</si>
  <si>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</si>
  <si>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</si>
  <si>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</si>
  <si>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</si>
  <si>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</si>
  <si>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</si>
  <si>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</si>
  <si>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</si>
  <si>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</si>
  <si>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</si>
  <si>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</si>
  <si>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</si>
  <si>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</si>
  <si>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</si>
  <si>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</si>
  <si>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</si>
  <si>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</si>
  <si>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</si>
  <si>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</si>
  <si>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</si>
  <si>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</si>
  <si>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</si>
  <si>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</si>
  <si>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</si>
  <si>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</si>
  <si>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</si>
  <si>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</si>
  <si>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</si>
  <si>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</si>
  <si>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</si>
  <si>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</si>
  <si>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</si>
  <si>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</si>
  <si>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</si>
  <si>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</si>
  <si>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</si>
  <si>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</si>
  <si>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</si>
  <si>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</si>
  <si>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</si>
  <si>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</si>
  <si>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</si>
  <si>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</si>
  <si>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</si>
  <si>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</si>
  <si>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</si>
  <si>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</si>
  <si>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</si>
  <si>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</si>
  <si>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</si>
  <si>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</si>
  <si>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</si>
  <si>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</si>
  <si>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</si>
  <si>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</si>
  <si>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</si>
  <si>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</si>
  <si>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</si>
  <si>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</si>
  <si>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</si>
  <si>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</si>
  <si>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</si>
  <si>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</si>
  <si>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</si>
  <si>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</si>
  <si>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</si>
  <si>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</si>
  <si>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</si>
  <si>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</si>
  <si>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</si>
  <si>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</si>
  <si>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</si>
  <si>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</si>
  <si>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</si>
  <si>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</si>
  <si>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</si>
  <si>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</si>
  <si>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</si>
  <si>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</si>
  <si>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</si>
  <si>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</si>
  <si>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</si>
  <si>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</si>
  <si>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</si>
  <si>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</si>
  <si>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</si>
  <si>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</si>
  <si>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</si>
  <si>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</si>
  <si>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</si>
  <si>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</si>
  <si>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</si>
  <si>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</si>
  <si>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</si>
  <si>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</si>
  <si>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</si>
  <si>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</si>
  <si>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</si>
  <si>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</si>
  <si>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</si>
  <si>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</si>
  <si>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</si>
  <si>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</si>
  <si>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</si>
  <si>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</si>
  <si>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</si>
  <si>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</si>
  <si>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</si>
  <si>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</si>
  <si>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</si>
  <si>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</si>
  <si>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</si>
  <si>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</si>
  <si>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</si>
  <si>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</si>
  <si>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</si>
  <si>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</si>
  <si>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</si>
  <si>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</si>
  <si>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</si>
  <si>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</si>
  <si>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</si>
  <si>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</si>
  <si>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</si>
  <si>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</si>
  <si>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</si>
  <si>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</si>
  <si>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</si>
  <si>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</si>
  <si>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</si>
  <si>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</si>
  <si>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</si>
  <si>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</si>
  <si>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</si>
  <si>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</si>
  <si>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</si>
  <si>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</si>
  <si>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</si>
  <si>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</si>
  <si>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</si>
  <si>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</si>
  <si>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</si>
  <si>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</si>
  <si>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</si>
  <si>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</si>
  <si>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</si>
  <si>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</si>
  <si>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</si>
  <si>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</si>
  <si>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</si>
  <si>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</si>
  <si>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</si>
  <si>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</si>
  <si>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</si>
  <si>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</si>
  <si>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</si>
  <si>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</si>
  <si>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</si>
  <si>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</si>
  <si>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</si>
  <si>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</si>
  <si>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</si>
  <si>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</si>
  <si>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</si>
  <si>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</si>
  <si>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</si>
  <si>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</si>
  <si>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</si>
  <si>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</si>
  <si>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</si>
  <si>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</si>
  <si>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</si>
  <si>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</si>
  <si>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</si>
  <si>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</si>
  <si>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</si>
  <si>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</si>
  <si>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</si>
  <si>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</si>
  <si>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</si>
  <si>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</si>
  <si>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</si>
  <si>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</si>
  <si>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</si>
  <si>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</si>
  <si>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</si>
  <si>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</si>
  <si>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</si>
  <si>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</si>
  <si>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</si>
  <si>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</si>
  <si>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</si>
  <si>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</si>
  <si>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</si>
  <si>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</si>
  <si>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</si>
  <si>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</si>
  <si>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</si>
  <si>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</si>
  <si>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</si>
  <si>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</si>
  <si>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</si>
  <si>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</si>
  <si>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</si>
  <si>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</si>
  <si>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</si>
  <si>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</si>
  <si>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</si>
  <si>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</si>
  <si>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</si>
  <si>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</si>
  <si>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</si>
  <si>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</si>
  <si>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</si>
  <si>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</si>
  <si>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</si>
  <si>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</si>
  <si>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</si>
  <si>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</si>
  <si>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</si>
  <si>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</si>
  <si>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</si>
  <si>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</si>
  <si>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</si>
  <si>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</si>
  <si>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</si>
  <si>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</si>
  <si>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</si>
  <si>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</si>
  <si>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</si>
  <si>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</si>
  <si>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</si>
  <si>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</si>
  <si>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</si>
  <si>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</si>
  <si>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</si>
  <si>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</si>
  <si>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</si>
  <si>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</si>
  <si>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</si>
  <si>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</si>
  <si>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</si>
  <si>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</si>
  <si>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</si>
  <si>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</si>
  <si>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</si>
  <si>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</si>
  <si>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</si>
  <si>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</si>
  <si>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</si>
  <si>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</si>
  <si>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</si>
  <si>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</si>
  <si>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</si>
  <si>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</si>
  <si>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</si>
  <si>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</si>
  <si>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</si>
  <si>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</si>
  <si>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</si>
  <si>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</si>
  <si>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</si>
  <si>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</si>
  <si>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</si>
  <si>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</si>
  <si>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</si>
  <si>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</si>
  <si>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</si>
  <si>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</si>
  <si>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</si>
  <si>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</si>
  <si>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</si>
  <si>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</si>
  <si>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</si>
  <si>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</si>
  <si>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</si>
  <si>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</si>
  <si>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</si>
  <si>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</si>
  <si>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</si>
  <si>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</si>
  <si>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</si>
  <si>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</si>
  <si>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</si>
  <si>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</si>
  <si>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</si>
  <si>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</si>
  <si>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</si>
  <si>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</si>
  <si>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</si>
  <si>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</si>
  <si>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</si>
  <si>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</si>
  <si>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</si>
  <si>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</si>
  <si>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</si>
  <si>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</si>
  <si>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</si>
  <si>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</si>
  <si>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</si>
  <si>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</si>
  <si>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</si>
  <si>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</si>
  <si>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</si>
  <si>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</si>
  <si>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</si>
  <si>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</si>
  <si>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</si>
  <si>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</si>
  <si>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</si>
  <si>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</si>
  <si>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</si>
  <si>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</si>
  <si>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</si>
  <si>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</si>
  <si>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</si>
  <si>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</si>
  <si>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</si>
  <si>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</si>
  <si>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</si>
  <si>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</si>
  <si>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</si>
  <si>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</si>
  <si>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</si>
  <si>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</si>
  <si>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</si>
  <si>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</si>
  <si>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</si>
  <si>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</si>
  <si>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</si>
  <si>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</si>
  <si>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</si>
  <si>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</si>
  <si>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</si>
  <si>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</si>
  <si>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</si>
  <si>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</si>
  <si>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</si>
  <si>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</si>
  <si>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</si>
  <si>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</si>
  <si>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</si>
  <si>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</si>
  <si>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</si>
  <si>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</si>
  <si>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</si>
  <si>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</si>
  <si>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</si>
  <si>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</si>
  <si>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</si>
  <si>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</si>
  <si>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</si>
  <si>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</si>
  <si>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</si>
  <si>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</si>
  <si>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</si>
  <si>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</si>
  <si>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</si>
  <si>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</si>
  <si>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</si>
  <si>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</si>
  <si>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</si>
  <si>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</si>
  <si>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</si>
  <si>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</si>
  <si>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</si>
  <si>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</si>
  <si>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</si>
  <si>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</si>
  <si>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</si>
  <si>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</si>
  <si>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</si>
  <si>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</si>
  <si>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</si>
  <si>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</si>
  <si>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</si>
  <si>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</si>
  <si>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</si>
  <si>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</si>
  <si>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</si>
  <si>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</si>
  <si>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</si>
  <si>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</si>
  <si>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</si>
  <si>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</si>
  <si>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</si>
  <si>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</si>
  <si>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</si>
  <si>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</si>
  <si>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</si>
  <si>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</si>
  <si>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</si>
  <si>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</si>
  <si>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</si>
  <si>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</si>
  <si>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</si>
  <si>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</si>
  <si>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</si>
  <si>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</si>
  <si>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</si>
  <si>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</si>
  <si>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</si>
  <si>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</si>
  <si>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</si>
  <si>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</si>
  <si>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</si>
  <si>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</si>
  <si>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</si>
  <si>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</si>
  <si>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</si>
  <si>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</si>
  <si>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</si>
  <si>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</si>
  <si>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</si>
  <si>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</si>
  <si>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</si>
  <si>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</si>
  <si>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</si>
  <si>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</si>
  <si>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</si>
  <si>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</si>
  <si>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</si>
  <si>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</si>
  <si>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</si>
  <si>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</si>
  <si>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</si>
  <si>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</si>
  <si>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</si>
  <si>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</si>
  <si>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</si>
  <si>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</si>
  <si>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</si>
  <si>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</si>
  <si>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</si>
  <si>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</si>
  <si>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</si>
  <si>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</si>
  <si>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</si>
  <si>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</si>
  <si>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</si>
  <si>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</si>
  <si>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</si>
  <si>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</si>
  <si>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</si>
  <si>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</si>
  <si>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</si>
  <si>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</si>
  <si>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</si>
  <si>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</si>
  <si>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</si>
  <si>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</si>
  <si>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</si>
  <si>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</si>
  <si>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</si>
  <si>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</si>
  <si>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</si>
  <si>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</si>
  <si>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</si>
  <si>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</si>
  <si>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</si>
  <si>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</si>
  <si>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</si>
  <si>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</si>
  <si>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</si>
  <si>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</si>
  <si>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</si>
  <si>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</si>
  <si>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</si>
  <si>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</si>
  <si>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</si>
  <si>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</si>
  <si>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</si>
  <si>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</si>
  <si>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</si>
  <si>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</si>
  <si>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</si>
  <si>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</si>
  <si>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</si>
  <si>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</si>
  <si>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</si>
  <si>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</si>
  <si>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</si>
  <si>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</si>
  <si>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</si>
  <si>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</si>
  <si>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</si>
  <si>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</si>
  <si>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</si>
  <si>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</si>
  <si>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</si>
  <si>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</si>
  <si>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</si>
  <si>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</si>
  <si>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</si>
  <si>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</si>
  <si>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</si>
  <si>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</si>
  <si>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</si>
  <si>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</si>
  <si>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</si>
  <si>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</si>
  <si>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</si>
  <si>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</si>
  <si>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</si>
  <si>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</si>
  <si>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</si>
  <si>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</si>
  <si>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</si>
  <si>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</si>
  <si>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</si>
  <si>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</si>
  <si>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</si>
  <si>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</si>
  <si>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</si>
  <si>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</si>
  <si>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</si>
  <si>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</si>
  <si>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</si>
  <si>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</si>
  <si>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</si>
  <si>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</si>
  <si>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</si>
  <si>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</si>
  <si>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</si>
  <si>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</si>
  <si>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</si>
  <si>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</si>
  <si>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</si>
  <si>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</si>
  <si>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</si>
  <si>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</si>
  <si>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</si>
  <si>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</si>
  <si>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</si>
  <si>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</si>
  <si>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</si>
  <si>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</si>
  <si>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</si>
  <si>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</si>
  <si>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</si>
  <si>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</si>
  <si>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</si>
  <si>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</si>
  <si>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</si>
  <si>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</si>
  <si>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</si>
  <si>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</si>
  <si>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</si>
  <si>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</si>
  <si>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</si>
  <si>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</si>
  <si>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</si>
  <si>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</si>
  <si>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</si>
  <si>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</si>
  <si>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</si>
  <si>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</si>
  <si>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</si>
  <si>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</si>
  <si>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</si>
  <si>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</si>
  <si>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</si>
  <si>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</si>
  <si>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</si>
  <si>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</si>
  <si>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</si>
  <si>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</si>
  <si>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</si>
  <si>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</si>
  <si>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</si>
  <si>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</si>
  <si>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</si>
  <si>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</si>
  <si>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</si>
  <si>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</si>
  <si>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</si>
  <si>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</si>
  <si>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</si>
  <si>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</si>
  <si>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</si>
  <si>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</si>
  <si>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</si>
  <si>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</si>
  <si>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</si>
  <si>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</si>
  <si>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</si>
  <si>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</si>
  <si>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</si>
  <si>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</si>
  <si>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</si>
  <si>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</si>
  <si>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</si>
  <si>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</si>
  <si>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</si>
  <si>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</si>
  <si>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</si>
  <si>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</si>
  <si>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</si>
  <si>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</si>
  <si>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</si>
  <si>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</si>
  <si>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</si>
  <si>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</si>
  <si>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</si>
  <si>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</si>
  <si>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</si>
  <si>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</si>
  <si>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</si>
  <si>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</si>
  <si>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</si>
  <si>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</si>
  <si>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</si>
  <si>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</si>
  <si>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</si>
  <si>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</si>
  <si>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</si>
  <si>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</si>
  <si>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</si>
  <si>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</si>
  <si>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</si>
  <si>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</si>
  <si>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</si>
  <si>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</si>
  <si>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</si>
  <si>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</si>
  <si>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</si>
  <si>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</si>
  <si>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</si>
  <si>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</si>
  <si>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</si>
  <si>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</si>
  <si>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</si>
  <si>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</si>
  <si>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</si>
  <si>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</si>
  <si>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</si>
  <si>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</si>
  <si>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</si>
  <si>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</si>
  <si>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</si>
  <si>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</si>
  <si>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</si>
  <si>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</si>
  <si>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</si>
  <si>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</si>
  <si>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</si>
  <si>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</si>
  <si>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</si>
  <si>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</si>
  <si>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</si>
  <si>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</si>
  <si>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</si>
  <si>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</si>
  <si>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</si>
  <si>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</si>
  <si>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</si>
  <si>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</si>
  <si>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</si>
  <si>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</si>
  <si>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</si>
  <si>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</si>
  <si>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</si>
  <si>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</si>
  <si>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</si>
  <si>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</si>
  <si>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</si>
  <si>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</si>
  <si>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</si>
  <si>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</si>
  <si>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</si>
  <si>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</si>
  <si>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</si>
  <si>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</si>
  <si>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</si>
  <si>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</si>
  <si>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</si>
  <si>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</si>
  <si>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</si>
  <si>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</si>
  <si>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</si>
  <si>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</si>
  <si>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</si>
  <si>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</si>
  <si>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</si>
  <si>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</si>
  <si>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</si>
  <si>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</si>
  <si>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</si>
  <si>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</si>
  <si>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</si>
  <si>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</si>
  <si>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</si>
  <si>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</si>
  <si>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</si>
  <si>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</si>
  <si>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</si>
  <si>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</si>
  <si>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</si>
  <si>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</si>
  <si>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</si>
  <si>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</si>
  <si>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</si>
  <si>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</si>
  <si>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</si>
  <si>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</si>
  <si>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</si>
  <si>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</si>
  <si>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</si>
  <si>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</si>
  <si>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</si>
  <si>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</si>
  <si>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</si>
  <si>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</si>
  <si>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</si>
  <si>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</si>
  <si>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</si>
  <si>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</si>
  <si>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</si>
  <si>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</si>
  <si>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</si>
  <si>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</si>
  <si>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</si>
  <si>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</si>
  <si>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</si>
  <si>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</si>
  <si>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</si>
  <si>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</si>
  <si>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</si>
  <si>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</si>
  <si>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</si>
  <si>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</si>
  <si>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</si>
  <si>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</si>
  <si>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</si>
  <si>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</si>
  <si>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</si>
  <si>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</si>
  <si>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</si>
  <si>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</si>
  <si>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</si>
  <si>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</si>
  <si>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</si>
  <si>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</si>
  <si>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</si>
  <si>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</si>
  <si>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</si>
  <si>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</si>
  <si>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</si>
  <si>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</si>
  <si>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</si>
  <si>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</si>
  <si>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</si>
  <si>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</si>
  <si>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</si>
  <si>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</si>
  <si>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</si>
  <si>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</si>
  <si>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</si>
  <si>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</si>
  <si>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</si>
  <si>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</si>
  <si>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</si>
  <si>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</si>
  <si>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</si>
  <si>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</si>
  <si>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</si>
  <si>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</si>
  <si>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</si>
  <si>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</si>
  <si>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</si>
  <si>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</si>
  <si>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</si>
  <si>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</si>
  <si>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</si>
  <si>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</si>
  <si>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</si>
  <si>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</si>
  <si>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</si>
  <si>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</si>
  <si>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</si>
  <si>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</si>
  <si>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</si>
  <si>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</si>
  <si>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</si>
  <si>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</si>
  <si>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</si>
  <si>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</si>
  <si>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</si>
  <si>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</si>
  <si>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</si>
  <si>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</si>
  <si>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</si>
  <si>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</si>
  <si>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</si>
  <si>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</si>
  <si>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</si>
  <si>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</si>
  <si>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</si>
  <si>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</si>
  <si>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</si>
  <si>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</si>
  <si>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</si>
  <si>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</si>
  <si>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</si>
  <si>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</si>
  <si>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</si>
  <si>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</si>
  <si>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</si>
  <si>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</si>
  <si>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</si>
  <si>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</si>
  <si>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</si>
  <si>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</si>
  <si>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</si>
  <si>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</si>
  <si>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</si>
  <si>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</si>
  <si>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</si>
  <si>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</si>
  <si>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</si>
  <si>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</si>
  <si>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</si>
  <si>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</si>
  <si>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</si>
  <si>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</si>
  <si>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</si>
  <si>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</si>
  <si>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</si>
  <si>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</si>
  <si>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</si>
  <si>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</si>
  <si>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</si>
  <si>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</si>
  <si>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</si>
  <si>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</si>
  <si>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</si>
  <si>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</si>
  <si>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</si>
  <si>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</si>
  <si>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</si>
  <si>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</si>
  <si>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</si>
  <si>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</si>
  <si>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</si>
  <si>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</si>
  <si>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</si>
  <si>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</si>
  <si>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</si>
  <si>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</si>
  <si>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</si>
  <si>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</si>
  <si>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</si>
  <si>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</si>
  <si>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</si>
  <si>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</si>
  <si>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</si>
  <si>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</si>
  <si>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</si>
  <si>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</si>
  <si>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</si>
  <si>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</si>
  <si>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</si>
  <si>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</si>
  <si>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</si>
  <si>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</si>
  <si>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</si>
  <si>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</si>
  <si>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</si>
  <si>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</si>
  <si>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</si>
  <si>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</si>
  <si>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</si>
  <si>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</si>
  <si>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</si>
  <si>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</si>
  <si>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</si>
  <si>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</si>
  <si>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</si>
  <si>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</si>
  <si>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</si>
  <si>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</si>
  <si>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</si>
  <si>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</si>
  <si>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</si>
  <si>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</si>
  <si>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</si>
  <si>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</si>
  <si>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</si>
  <si>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</si>
  <si>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</si>
  <si>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</si>
  <si>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</si>
  <si>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</si>
  <si>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</si>
  <si>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</si>
  <si>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</si>
  <si>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</si>
  <si>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</si>
  <si>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</si>
  <si>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</si>
  <si>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</si>
  <si>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</si>
  <si>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</si>
  <si>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</si>
  <si>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</si>
  <si>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</si>
  <si>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</si>
  <si>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</si>
  <si>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</si>
  <si>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</si>
  <si>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</si>
  <si>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</si>
  <si>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</si>
  <si>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</si>
  <si>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</si>
  <si>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</si>
  <si>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</si>
  <si>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</si>
  <si>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</si>
  <si>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</si>
  <si>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</si>
  <si>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</si>
  <si>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</si>
  <si>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</si>
  <si>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</si>
  <si>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</si>
  <si>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</si>
  <si>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</si>
  <si>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</si>
  <si>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</si>
  <si>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</si>
  <si>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</si>
  <si>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</si>
  <si>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</si>
  <si>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</si>
  <si>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</si>
  <si>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</si>
  <si>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</si>
  <si>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</si>
  <si>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</si>
  <si>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</si>
  <si>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</si>
  <si>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</si>
  <si>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</si>
  <si>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</si>
  <si>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</si>
  <si>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</si>
  <si>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</si>
  <si>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</si>
  <si>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</si>
  <si>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</si>
  <si>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</si>
  <si>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</si>
  <si>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</si>
  <si>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</si>
  <si>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</si>
  <si>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</si>
  <si>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</si>
  <si>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</si>
  <si>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</si>
  <si>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</si>
  <si>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</si>
  <si>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</si>
  <si>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</si>
  <si>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</si>
  <si>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</si>
  <si>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</si>
  <si>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</si>
  <si>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</si>
  <si>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</si>
  <si>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</si>
  <si>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</si>
  <si>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</si>
  <si>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</si>
  <si>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</si>
  <si>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</si>
  <si>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</si>
  <si>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</si>
  <si>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</si>
  <si>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</si>
  <si>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</si>
  <si>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</si>
  <si>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</si>
  <si>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</si>
  <si>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</si>
  <si>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</si>
  <si>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</si>
  <si>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</si>
  <si>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</si>
  <si>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</si>
  <si>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</si>
  <si>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</si>
  <si>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</si>
  <si>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</si>
  <si>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</si>
  <si>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</si>
  <si>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</si>
  <si>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</si>
  <si>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</si>
  <si>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</si>
  <si>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</si>
  <si>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</si>
  <si>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</si>
  <si>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</si>
  <si>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</si>
  <si>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</si>
  <si>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</si>
  <si>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</si>
  <si>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</si>
  <si>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</si>
  <si>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</si>
  <si>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</si>
  <si>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</si>
  <si>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</si>
  <si>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</si>
  <si>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</si>
  <si>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</si>
  <si>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</si>
  <si>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</si>
  <si>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</si>
  <si>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</si>
  <si>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</si>
  <si>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</si>
  <si>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</si>
  <si>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</si>
  <si>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</si>
  <si>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</si>
  <si>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</si>
  <si>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</si>
  <si>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</si>
  <si>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</si>
  <si>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</si>
  <si>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</si>
  <si>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</si>
  <si>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</si>
  <si>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</si>
  <si>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</si>
  <si>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</si>
  <si>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</si>
  <si>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</si>
  <si>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</si>
  <si>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</si>
  <si>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</si>
  <si>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</si>
  <si>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</si>
  <si>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</si>
  <si>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</si>
  <si>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</si>
  <si>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</si>
  <si>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</si>
  <si>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</si>
  <si>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</si>
  <si>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</si>
  <si>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</si>
  <si>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</si>
  <si>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</si>
  <si>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</si>
  <si>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</si>
  <si>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</si>
  <si>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</si>
  <si>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</si>
  <si>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</si>
  <si>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</si>
  <si>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</si>
  <si>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</si>
  <si>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</si>
  <si>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</si>
  <si>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</si>
  <si>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</si>
  <si>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</si>
  <si>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</si>
  <si>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</si>
  <si>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</si>
  <si>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</si>
  <si>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</si>
  <si>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</si>
  <si>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</si>
  <si>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</si>
  <si>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</si>
  <si>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</si>
  <si>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</si>
  <si>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</si>
  <si>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</si>
  <si>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</si>
  <si>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</si>
  <si>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</si>
  <si>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</si>
  <si>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</si>
  <si>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</si>
  <si>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</si>
  <si>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</si>
  <si>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</si>
  <si>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</si>
  <si>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</si>
  <si>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</si>
  <si>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</si>
  <si>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</si>
  <si>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</si>
  <si>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</si>
  <si>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</si>
  <si>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</si>
  <si>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</si>
  <si>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</si>
  <si>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</si>
  <si>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</si>
  <si>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</si>
  <si>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</si>
  <si>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</si>
  <si>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</si>
  <si>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</si>
  <si>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</si>
  <si>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</si>
  <si>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</si>
  <si>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</si>
  <si>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</si>
  <si>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</si>
  <si>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</si>
  <si>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</si>
  <si>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</si>
  <si>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</si>
  <si>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</si>
  <si>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</si>
  <si>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</si>
  <si>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</si>
  <si>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</si>
  <si>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</si>
  <si>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</si>
  <si>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</si>
  <si>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</si>
  <si>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</si>
  <si>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</si>
  <si>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</si>
  <si>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</si>
  <si>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</si>
  <si>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</si>
  <si>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</si>
  <si>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</si>
  <si>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</si>
  <si>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</si>
  <si>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</si>
  <si>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</si>
  <si>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</si>
  <si>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</si>
  <si>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</si>
  <si>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</si>
  <si>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</si>
  <si>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</si>
  <si>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</si>
  <si>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</si>
  <si>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</si>
  <si>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</si>
  <si>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</si>
  <si>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</si>
  <si>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</si>
  <si>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</si>
  <si>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</si>
  <si>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</si>
  <si>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</si>
  <si>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</si>
  <si>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</si>
  <si>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</si>
  <si>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</si>
  <si>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</si>
  <si>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</si>
  <si>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</si>
  <si>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</si>
  <si>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</si>
  <si>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</si>
  <si>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</si>
  <si>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</si>
  <si>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</si>
  <si>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</si>
  <si>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</si>
  <si>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</si>
  <si>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</si>
  <si>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</si>
  <si>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</si>
  <si>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</si>
  <si>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</si>
  <si>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</si>
  <si>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</si>
  <si>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</si>
  <si>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</si>
  <si>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</si>
  <si>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</si>
  <si>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</si>
  <si>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</si>
  <si>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</si>
  <si>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</si>
  <si>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</si>
  <si>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</si>
  <si>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</si>
  <si>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</si>
  <si>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</si>
  <si>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</si>
  <si>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</si>
  <si>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</si>
  <si>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</si>
  <si>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</si>
  <si>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</si>
  <si>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</si>
  <si>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</si>
  <si>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</si>
  <si>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</si>
  <si>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</si>
  <si>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</si>
  <si>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</si>
  <si>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</si>
  <si>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</si>
  <si>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</si>
  <si>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</si>
  <si>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</si>
  <si>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</si>
  <si>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</si>
  <si>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</si>
  <si>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</si>
  <si>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</si>
  <si>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</si>
  <si>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</si>
  <si>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</si>
  <si>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</si>
  <si>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</si>
  <si>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</si>
  <si>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</si>
  <si>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</si>
  <si>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</si>
  <si>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</si>
  <si>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</si>
  <si>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</si>
  <si>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</si>
  <si>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</si>
  <si>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</si>
  <si>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</si>
  <si>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</si>
  <si>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</si>
  <si>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</si>
  <si>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</si>
  <si>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</si>
  <si>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</si>
  <si>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</si>
  <si>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</si>
  <si>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</si>
  <si>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</si>
  <si>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</si>
  <si>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</si>
  <si>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</si>
  <si>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</si>
  <si>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</si>
  <si>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</si>
  <si>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</si>
  <si>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</si>
  <si>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</si>
  <si>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</si>
  <si>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</si>
  <si>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</si>
  <si>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</si>
  <si>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</si>
  <si>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</si>
  <si>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</si>
  <si>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</si>
  <si>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</si>
  <si>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</si>
  <si>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</si>
  <si>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</si>
  <si>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</si>
  <si>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</si>
  <si>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</si>
  <si>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</si>
  <si>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</si>
  <si>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</si>
  <si>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</si>
  <si>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</si>
  <si>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</si>
  <si>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</si>
  <si>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</si>
  <si>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</si>
  <si>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</si>
  <si>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</si>
  <si>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</si>
  <si>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</si>
  <si>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</si>
  <si>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</si>
  <si>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</si>
  <si>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</si>
  <si>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</si>
  <si>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</si>
  <si>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</si>
  <si>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</si>
  <si>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</si>
  <si>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</si>
  <si>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</si>
  <si>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</si>
  <si>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</si>
  <si>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</si>
  <si>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</si>
  <si>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</si>
  <si>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</si>
  <si>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</si>
  <si>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</si>
  <si>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</si>
  <si>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</si>
  <si>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</si>
  <si>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</si>
  <si>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</si>
  <si>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</si>
  <si>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</si>
  <si>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</si>
  <si>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</si>
  <si>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</si>
  <si>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</si>
  <si>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</si>
  <si>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</si>
  <si>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</si>
  <si>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</si>
  <si>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</si>
  <si>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</si>
  <si>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</si>
  <si>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</si>
  <si>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</si>
  <si>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</si>
  <si>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</si>
  <si>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</si>
  <si>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</si>
  <si>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</si>
  <si>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</si>
  <si>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</si>
  <si>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</si>
  <si>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</si>
  <si>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</si>
  <si>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</si>
  <si>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</si>
  <si>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</si>
  <si>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</si>
  <si>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</si>
  <si>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</si>
  <si>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</si>
  <si>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</si>
  <si>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</si>
  <si>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</si>
  <si>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</si>
  <si>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</si>
  <si>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</si>
  <si>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</si>
  <si>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</si>
  <si>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</si>
  <si>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</si>
  <si>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</si>
  <si>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</si>
  <si>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</si>
  <si>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</si>
  <si>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</si>
  <si>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</si>
  <si>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</si>
  <si>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</si>
  <si>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</si>
  <si>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</si>
  <si>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</si>
  <si>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</si>
  <si>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</si>
  <si>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</si>
  <si>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</si>
  <si>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</si>
  <si>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</si>
  <si>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</si>
  <si>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</si>
  <si>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</si>
  <si>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</si>
  <si>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</si>
  <si>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</si>
  <si>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</si>
  <si>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</si>
  <si>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</si>
  <si>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</si>
  <si>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</si>
  <si>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</si>
  <si>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</si>
  <si>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</si>
  <si>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</si>
  <si>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</si>
  <si>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</si>
  <si>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</si>
  <si>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</si>
  <si>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</si>
  <si>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</si>
  <si>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</si>
  <si>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</si>
  <si>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</si>
  <si>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</si>
  <si>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</si>
  <si>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</si>
  <si>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</si>
  <si>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</si>
  <si>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</si>
  <si>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</si>
  <si>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</si>
  <si>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</si>
  <si>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</si>
  <si>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</si>
  <si>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</si>
  <si>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</si>
  <si>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</si>
  <si>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</si>
  <si>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</si>
  <si>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</si>
  <si>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</si>
  <si>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</si>
  <si>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</si>
  <si>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</si>
  <si>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</si>
  <si>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</si>
  <si>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</si>
  <si>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</si>
  <si>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</si>
  <si>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</si>
  <si>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</si>
  <si>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</si>
  <si>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</si>
  <si>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</si>
  <si>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</si>
  <si>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</si>
  <si>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</si>
  <si>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</si>
  <si>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</si>
  <si>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</si>
  <si>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</si>
  <si>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</si>
  <si>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</si>
  <si>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</si>
  <si>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</si>
  <si>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</si>
  <si>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</si>
  <si>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</si>
  <si>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</si>
  <si>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</si>
  <si>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</si>
  <si>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</si>
  <si>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</si>
  <si>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</si>
  <si>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</si>
  <si>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</si>
  <si>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</si>
  <si>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</si>
  <si>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</si>
  <si>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</si>
  <si>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</si>
  <si>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</si>
  <si>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</si>
  <si>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</si>
  <si>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</si>
  <si>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</si>
  <si>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</si>
  <si>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</si>
  <si>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</si>
  <si>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</si>
  <si>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</si>
  <si>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</si>
  <si>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</si>
  <si>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</si>
  <si>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</si>
  <si>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</si>
  <si>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</si>
  <si>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</si>
  <si>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</si>
  <si>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</si>
  <si>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</si>
  <si>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</si>
  <si>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</si>
  <si>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</si>
  <si>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</si>
  <si>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</si>
  <si>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</si>
  <si>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</si>
  <si>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</si>
  <si>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</si>
  <si>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</si>
  <si>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</si>
  <si>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</si>
  <si>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</si>
  <si>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</si>
  <si>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</si>
  <si>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</si>
  <si>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</si>
  <si>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</si>
  <si>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</si>
  <si>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</si>
  <si>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</si>
  <si>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</si>
  <si>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</si>
  <si>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</si>
  <si>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</si>
  <si>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</si>
  <si>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</si>
  <si>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</si>
  <si>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</si>
  <si>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</si>
  <si>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</si>
  <si>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</si>
  <si>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</si>
  <si>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</si>
  <si>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</si>
  <si>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</si>
  <si>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</si>
  <si>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</si>
  <si>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</si>
  <si>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</si>
  <si>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</si>
  <si>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</si>
  <si>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</si>
  <si>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</si>
  <si>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</si>
  <si>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</si>
  <si>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</si>
  <si>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</si>
  <si>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</si>
  <si>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</si>
  <si>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</si>
  <si>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</si>
  <si>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</si>
  <si>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</si>
  <si>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</si>
  <si>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</si>
  <si>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</si>
  <si>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</si>
  <si>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</si>
  <si>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</si>
  <si>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</si>
  <si>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</si>
  <si>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</si>
  <si>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</si>
  <si>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</si>
  <si>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</si>
  <si>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</si>
  <si>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</si>
  <si>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</si>
  <si>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</si>
  <si>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</si>
  <si>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</si>
  <si>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</si>
  <si>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</si>
  <si>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</si>
  <si>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</si>
  <si>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</si>
  <si>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</si>
  <si>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</si>
  <si>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</si>
  <si>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</si>
  <si>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</si>
  <si>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</si>
  <si>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</si>
  <si>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</si>
  <si>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</si>
  <si>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</si>
  <si>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</si>
  <si>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</si>
  <si>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</si>
  <si>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</si>
  <si>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</si>
  <si>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</si>
  <si>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</si>
  <si>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</si>
  <si>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</si>
  <si>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</si>
  <si>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</si>
  <si>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</si>
  <si>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</si>
  <si>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</si>
  <si>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</si>
  <si>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</si>
  <si>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</si>
  <si>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</si>
  <si>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</si>
  <si>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</si>
  <si>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</si>
  <si>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</si>
  <si>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</si>
  <si>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</si>
  <si>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</si>
  <si>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</si>
  <si>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</si>
  <si>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</si>
  <si>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</si>
  <si>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</si>
  <si>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</si>
  <si>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</si>
  <si>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</si>
  <si>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</si>
  <si>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</si>
  <si>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</si>
  <si>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</si>
  <si>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</si>
  <si>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</si>
  <si>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</si>
  <si>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</si>
  <si>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</si>
  <si>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</si>
  <si>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</si>
  <si>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</si>
  <si>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</si>
  <si>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</si>
  <si>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</si>
  <si>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</si>
  <si>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</si>
  <si>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</si>
  <si>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</si>
  <si>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</si>
  <si>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</si>
  <si>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</si>
  <si>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</si>
  <si>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</si>
  <si>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</si>
  <si>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</si>
  <si>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</si>
  <si>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</si>
  <si>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</si>
  <si>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</si>
  <si>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</si>
  <si>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</si>
  <si>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</si>
  <si>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</si>
  <si>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</si>
  <si>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</si>
  <si>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</si>
  <si>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</si>
  <si>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</si>
  <si>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</si>
  <si>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</si>
  <si>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</si>
  <si>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</si>
  <si>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</si>
  <si>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</si>
  <si>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</si>
  <si>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</si>
  <si>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</si>
  <si>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</si>
  <si>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</si>
  <si>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</si>
  <si>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</si>
  <si>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</si>
  <si>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</si>
  <si>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</si>
  <si>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</si>
  <si>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</si>
  <si>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</si>
  <si>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</si>
  <si>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</si>
  <si>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</si>
  <si>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</si>
  <si>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</si>
  <si>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</si>
  <si>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</si>
  <si>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</si>
  <si>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</si>
  <si>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</si>
  <si>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</si>
  <si>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</si>
  <si>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</si>
  <si>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</si>
  <si>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</si>
  <si>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</si>
  <si>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</si>
  <si>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</si>
  <si>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</si>
  <si>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</si>
  <si>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</si>
  <si>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</si>
  <si>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</si>
  <si>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</si>
  <si>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</si>
  <si>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</si>
  <si>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</si>
  <si>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</si>
  <si>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</si>
  <si>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</si>
  <si>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</si>
  <si>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</si>
  <si>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</si>
  <si>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</si>
  <si>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</si>
  <si>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</si>
  <si>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</si>
  <si>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</si>
  <si>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</si>
  <si>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</si>
  <si>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</si>
  <si>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</si>
  <si>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</si>
  <si>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</si>
  <si>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</si>
  <si>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</si>
  <si>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</si>
  <si>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</si>
  <si>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</si>
  <si>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</si>
  <si>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</si>
  <si>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</si>
  <si>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</si>
  <si>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</si>
  <si>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</si>
  <si>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</si>
  <si>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</si>
  <si>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</si>
  <si>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</si>
  <si>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</si>
  <si>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</si>
  <si>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</si>
  <si>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</si>
  <si>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</si>
  <si>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</si>
  <si>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</si>
  <si>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</si>
  <si>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</si>
  <si>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</si>
  <si>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</si>
  <si>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</si>
  <si>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</si>
  <si>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</si>
  <si>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</si>
  <si>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</si>
  <si>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</si>
  <si>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</si>
  <si>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</si>
  <si>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</si>
  <si>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</si>
  <si>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</si>
  <si>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</si>
  <si>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</si>
  <si>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</si>
  <si>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</si>
  <si>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</si>
  <si>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</si>
  <si>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</si>
  <si>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</si>
  <si>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</si>
  <si>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</si>
  <si>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</si>
  <si>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</si>
  <si>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</si>
  <si>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</si>
  <si>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</si>
  <si>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</si>
  <si>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</si>
  <si>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</si>
  <si>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</si>
  <si>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</si>
  <si>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</si>
  <si>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</si>
  <si>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</si>
  <si>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</si>
  <si>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</si>
  <si>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</si>
  <si>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</si>
  <si>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</si>
  <si>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</si>
  <si>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</si>
  <si>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</si>
  <si>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</si>
  <si>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</si>
  <si>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</si>
  <si>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</si>
  <si>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</si>
  <si>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</si>
  <si>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</si>
  <si>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</si>
  <si>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</si>
  <si>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</si>
  <si>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</si>
  <si>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</si>
  <si>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</si>
  <si>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</si>
  <si>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</si>
  <si>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</si>
  <si>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</si>
  <si>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</si>
  <si>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</si>
  <si>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</si>
  <si>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</si>
  <si>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</si>
  <si>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</si>
  <si>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</si>
  <si>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</si>
  <si>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</si>
  <si>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</si>
  <si>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</si>
  <si>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</si>
  <si>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</si>
  <si>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</si>
  <si>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</si>
  <si>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</si>
  <si>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</si>
  <si>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</si>
  <si>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</si>
  <si>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</si>
  <si>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</si>
  <si>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</si>
  <si>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</si>
  <si>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</si>
  <si>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</si>
  <si>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</si>
  <si>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</si>
  <si>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</si>
  <si>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</si>
  <si>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</si>
  <si>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</si>
  <si>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</si>
  <si>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</si>
  <si>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</si>
  <si>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</si>
  <si>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</si>
  <si>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</si>
  <si>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</si>
  <si>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</si>
  <si>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</si>
  <si>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</si>
  <si>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</si>
  <si>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</si>
  <si>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</si>
  <si>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</si>
  <si>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</si>
  <si>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</si>
  <si>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</si>
  <si>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</si>
  <si>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</si>
  <si>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</si>
  <si>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</si>
  <si>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</si>
  <si>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</si>
  <si>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</si>
  <si>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</si>
  <si>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</si>
  <si>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</si>
  <si>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</si>
  <si>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</si>
  <si>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</si>
  <si>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</si>
  <si>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</si>
  <si>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</si>
  <si>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</si>
  <si>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</si>
  <si>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</si>
  <si>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</si>
  <si>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</si>
  <si>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</si>
  <si>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</si>
  <si>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</si>
  <si>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</si>
  <si>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</si>
  <si>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</si>
  <si>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</si>
  <si>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</si>
  <si>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</si>
  <si>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</si>
  <si>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</si>
  <si>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</si>
  <si>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</si>
  <si>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</si>
  <si>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</si>
  <si>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</si>
  <si>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</si>
  <si>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</si>
  <si>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</si>
  <si>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</si>
  <si>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</si>
  <si>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</si>
  <si>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</si>
  <si>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</si>
  <si>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</si>
  <si>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</si>
  <si>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</si>
  <si>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</si>
  <si>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</si>
  <si>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</si>
  <si>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</si>
  <si>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</si>
  <si>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</si>
  <si>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</si>
  <si>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</si>
  <si>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</si>
  <si>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</si>
  <si>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</si>
  <si>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</si>
  <si>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</si>
  <si>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</si>
  <si>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</si>
  <si>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</si>
  <si>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</si>
  <si>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</si>
  <si>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</si>
  <si>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</si>
  <si>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</si>
  <si>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</si>
  <si>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</si>
  <si>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</si>
  <si>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</si>
  <si>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</si>
  <si>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</si>
  <si>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</si>
  <si>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</si>
  <si>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</si>
  <si>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</si>
  <si>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</si>
  <si>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</si>
  <si>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</si>
  <si>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</si>
  <si>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</si>
  <si>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</si>
  <si>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</si>
  <si>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</si>
  <si>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</si>
  <si>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</si>
  <si>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</si>
  <si>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</si>
  <si>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</si>
  <si>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</si>
  <si>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</si>
  <si>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</si>
  <si>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</si>
  <si>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</si>
  <si>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</si>
  <si>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</si>
  <si>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</si>
  <si>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</si>
  <si>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</si>
  <si>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</si>
  <si>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</si>
  <si>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</si>
  <si>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</si>
  <si>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</si>
  <si>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</si>
  <si>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</si>
  <si>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</si>
  <si>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</si>
  <si>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</si>
  <si>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</si>
  <si>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</si>
  <si>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</si>
  <si>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</si>
  <si>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</si>
  <si>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</si>
  <si>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</si>
  <si>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</si>
  <si>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</si>
  <si>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</si>
  <si>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</si>
  <si>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</si>
  <si>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</si>
  <si>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</si>
  <si>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</si>
  <si>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</si>
  <si>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</si>
  <si>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</si>
  <si>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</si>
  <si>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</si>
  <si>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</si>
  <si>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</si>
  <si>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</si>
  <si>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</si>
  <si>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</si>
  <si>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</si>
  <si>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</si>
  <si>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</si>
  <si>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</si>
  <si>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</si>
  <si>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</si>
  <si>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</si>
  <si>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</si>
  <si>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</si>
  <si>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</si>
  <si>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</si>
  <si>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</si>
  <si>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</si>
  <si>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</si>
  <si>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</si>
  <si>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</si>
  <si>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</si>
  <si>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</si>
  <si>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</si>
  <si>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</si>
  <si>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</si>
  <si>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</si>
  <si>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</si>
  <si>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</si>
  <si>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</si>
  <si>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</si>
  <si>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</si>
  <si>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</si>
  <si>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</si>
  <si>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</si>
  <si>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</si>
  <si>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</si>
  <si>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</si>
  <si>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</si>
  <si>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</si>
  <si>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</si>
  <si>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</si>
  <si>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</si>
  <si>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</si>
  <si>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</si>
  <si>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</si>
  <si>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</si>
  <si>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</si>
  <si>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</si>
  <si>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</si>
  <si>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</si>
  <si>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</si>
  <si>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</si>
  <si>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</si>
  <si>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</si>
  <si>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</si>
  <si>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</si>
  <si>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</si>
  <si>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</si>
  <si>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</si>
  <si>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</si>
  <si>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</si>
  <si>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</si>
  <si>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</si>
  <si>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</si>
  <si>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</si>
  <si>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</si>
  <si>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</si>
  <si>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</si>
  <si>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</si>
  <si>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</si>
  <si>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</si>
  <si>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</si>
  <si>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</si>
  <si>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</si>
  <si>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</si>
  <si>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</si>
  <si>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</si>
  <si>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</si>
  <si>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</si>
  <si>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</si>
  <si>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</si>
  <si>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</si>
  <si>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</si>
  <si>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</si>
  <si>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</si>
  <si>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</si>
  <si>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</si>
  <si>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</si>
  <si>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</si>
  <si>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</si>
  <si>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</si>
  <si>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</si>
  <si>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</si>
  <si>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</si>
  <si>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</si>
  <si>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</si>
  <si>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</si>
  <si>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</si>
  <si>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</si>
  <si>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</si>
  <si>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</si>
  <si>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</si>
  <si>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</si>
  <si>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</si>
  <si>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</si>
  <si>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</si>
  <si>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</si>
  <si>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</si>
  <si>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</si>
  <si>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</si>
  <si>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</si>
  <si>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</si>
  <si>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</si>
  <si>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</si>
  <si>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</si>
  <si>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</si>
  <si>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</si>
  <si>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</si>
  <si>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</si>
  <si>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</si>
  <si>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</si>
  <si>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</si>
  <si>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</si>
  <si>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</si>
  <si>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</si>
  <si>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</si>
  <si>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</si>
  <si>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</si>
  <si>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</si>
  <si>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</si>
  <si>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</si>
  <si>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</si>
  <si>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</si>
  <si>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</si>
  <si>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</si>
  <si>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</si>
  <si>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</si>
  <si>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</si>
  <si>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</si>
  <si>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</si>
  <si>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</si>
  <si>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</si>
  <si>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</si>
  <si>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</si>
  <si>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</si>
  <si>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</si>
  <si>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</si>
  <si>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</si>
  <si>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</si>
  <si>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</si>
  <si>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</si>
  <si>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</si>
  <si>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</si>
  <si>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</si>
  <si>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</si>
  <si>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</si>
  <si>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</si>
  <si>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</si>
  <si>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</si>
  <si>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</si>
  <si>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</si>
  <si>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</si>
  <si>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</si>
  <si>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</si>
  <si>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</si>
  <si>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</si>
  <si>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</si>
  <si>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</si>
  <si>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</si>
  <si>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</si>
  <si>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</si>
  <si>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</si>
  <si>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</si>
  <si>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</si>
  <si>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</si>
  <si>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</si>
  <si>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</si>
  <si>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</si>
  <si>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</si>
  <si>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</si>
  <si>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</si>
  <si>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</si>
  <si>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</si>
  <si>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</si>
  <si>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</si>
  <si>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</si>
  <si>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</si>
  <si>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</si>
  <si>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</si>
  <si>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</si>
  <si>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</si>
  <si>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</si>
  <si>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</si>
  <si>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</si>
  <si>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</si>
  <si>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</si>
  <si>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</si>
  <si>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</si>
  <si>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</si>
  <si>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</si>
  <si>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</si>
  <si>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</si>
  <si>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</si>
  <si>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</si>
  <si>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</si>
  <si>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</si>
  <si>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</si>
  <si>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</si>
  <si>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</si>
  <si>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</si>
  <si>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</si>
  <si>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</si>
  <si>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</si>
  <si>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</si>
  <si>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</si>
  <si>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</si>
  <si>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</si>
  <si>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</si>
  <si>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</si>
  <si>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</si>
  <si>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</si>
  <si>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</si>
  <si>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</si>
  <si>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</si>
  <si>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</si>
  <si>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</si>
  <si>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</si>
  <si>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</si>
  <si>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</si>
  <si>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</si>
  <si>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</si>
  <si>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</si>
  <si>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</si>
  <si>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</si>
  <si>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</si>
  <si>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</si>
  <si>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</si>
  <si>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</si>
  <si>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</si>
  <si>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</si>
  <si>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</si>
  <si>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</si>
  <si>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</si>
  <si>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</si>
  <si>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</si>
  <si>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</si>
  <si>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</si>
  <si>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</si>
  <si>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</si>
  <si>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</si>
  <si>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</si>
  <si>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</si>
  <si>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</si>
  <si>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</si>
  <si>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</si>
  <si>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</si>
  <si>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</si>
  <si>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</si>
  <si>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</si>
  <si>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</si>
  <si>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</si>
  <si>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</si>
  <si>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</si>
  <si>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</si>
  <si>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</si>
  <si>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</si>
  <si>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</si>
  <si>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</si>
  <si>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</si>
  <si>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</si>
  <si>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</si>
  <si>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</si>
  <si>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</si>
  <si>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</si>
  <si>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</si>
  <si>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</si>
  <si>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</si>
  <si>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</si>
  <si>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</si>
  <si>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</si>
  <si>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</si>
  <si>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</si>
  <si>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</si>
  <si>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</si>
  <si>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</si>
  <si>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</si>
  <si>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</si>
  <si>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</si>
  <si>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</si>
  <si>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</si>
  <si>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</si>
  <si>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</si>
  <si>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</si>
  <si>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</si>
  <si>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</si>
  <si>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</si>
  <si>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</si>
  <si>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</si>
  <si>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</si>
  <si>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</si>
  <si>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</si>
  <si>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</si>
  <si>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</si>
  <si>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</si>
  <si>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</si>
  <si>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</si>
  <si>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</si>
  <si>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</si>
  <si>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</si>
  <si>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</si>
  <si>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</si>
  <si>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</si>
  <si>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</si>
  <si>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</si>
  <si>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</si>
  <si>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</si>
  <si>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</si>
  <si>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</si>
  <si>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</si>
  <si>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</si>
  <si>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</si>
  <si>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</si>
  <si>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</si>
  <si>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</si>
  <si>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</si>
  <si>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</si>
  <si>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</si>
  <si>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</si>
  <si>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</si>
  <si>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</si>
  <si>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</si>
  <si>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</si>
  <si>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</si>
  <si>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</si>
  <si>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</si>
  <si>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</si>
  <si>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</si>
  <si>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</si>
  <si>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</si>
  <si>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</si>
  <si>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</si>
  <si>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</si>
  <si>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</si>
  <si>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</si>
  <si>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</si>
  <si>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</si>
  <si>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</si>
  <si>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</si>
  <si>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</si>
  <si>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</si>
  <si>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</si>
  <si>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</si>
  <si>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</si>
  <si>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</si>
  <si>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</si>
  <si>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</si>
  <si>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</si>
  <si>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</si>
  <si>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</si>
  <si>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</si>
  <si>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</si>
  <si>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</si>
  <si>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</si>
  <si>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</si>
  <si>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</si>
  <si>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</si>
  <si>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</si>
  <si>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</si>
  <si>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</si>
  <si>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</si>
  <si>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</si>
  <si>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</si>
  <si>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</si>
  <si>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</si>
  <si>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</si>
  <si>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</si>
  <si>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</si>
  <si>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</si>
  <si>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</si>
  <si>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</si>
  <si>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</si>
  <si>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</si>
  <si>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</si>
  <si>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</si>
  <si>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</si>
  <si>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</si>
  <si>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</si>
  <si>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</si>
  <si>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</si>
  <si>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</si>
  <si>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</si>
  <si>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</si>
  <si>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</si>
  <si>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</si>
  <si>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</si>
  <si>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</si>
  <si>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</si>
  <si>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</si>
  <si>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</si>
  <si>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</si>
  <si>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</si>
  <si>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</si>
  <si>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</si>
  <si>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</si>
  <si>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</si>
  <si>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</si>
  <si>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</si>
  <si>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</si>
  <si>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</si>
  <si>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</si>
  <si>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</si>
  <si>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</si>
  <si>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</si>
  <si>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</si>
  <si>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</si>
  <si>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</si>
  <si>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</si>
  <si>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</si>
  <si>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</si>
  <si>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</si>
  <si>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</si>
  <si>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</si>
  <si>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</si>
  <si>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</si>
  <si>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</si>
  <si>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</si>
  <si>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</si>
  <si>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</si>
  <si>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</si>
  <si>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</si>
  <si>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</si>
  <si>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</si>
  <si>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</si>
  <si>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</si>
  <si>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</si>
  <si>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</si>
  <si>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</si>
  <si>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</si>
  <si>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</si>
  <si>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</si>
  <si>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</si>
  <si>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</si>
  <si>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</si>
  <si>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</si>
  <si>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</si>
  <si>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</si>
  <si>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</si>
  <si>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</si>
  <si>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</si>
  <si>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</si>
  <si>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</si>
  <si>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</si>
  <si>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</si>
  <si>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</si>
  <si>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</si>
  <si>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</si>
  <si>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</si>
  <si>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</si>
  <si>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</si>
  <si>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</si>
  <si>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</si>
  <si>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</si>
  <si>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</si>
  <si>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</si>
  <si>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</si>
  <si>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</si>
  <si>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</si>
  <si>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</si>
  <si>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</si>
  <si>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</si>
  <si>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</si>
  <si>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</si>
  <si>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</si>
  <si>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</si>
  <si>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</si>
  <si>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</si>
  <si>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</si>
  <si>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</si>
  <si>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</si>
  <si>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</si>
  <si>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</si>
  <si>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</si>
  <si>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</si>
  <si>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</si>
  <si>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</si>
  <si>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</si>
  <si>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</si>
  <si>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</si>
  <si>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</si>
  <si>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</si>
  <si>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</si>
  <si>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</si>
  <si>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</si>
  <si>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</si>
  <si>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</si>
  <si>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</si>
  <si>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</si>
  <si>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</si>
  <si>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</si>
  <si>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</si>
  <si>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</si>
  <si>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</si>
  <si>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</si>
  <si>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</si>
  <si>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</si>
  <si>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</si>
  <si>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</si>
  <si>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</si>
  <si>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</si>
  <si>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</si>
  <si>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</si>
  <si>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</si>
  <si>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</si>
  <si>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</si>
  <si>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</si>
  <si>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</si>
  <si>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</si>
  <si>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</si>
  <si>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</si>
  <si>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</si>
  <si>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</si>
  <si>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</si>
  <si>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</si>
  <si>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</si>
  <si>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</si>
  <si>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</si>
  <si>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</si>
  <si>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</si>
  <si>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</si>
  <si>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</si>
  <si>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</si>
  <si>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</si>
  <si>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</si>
  <si>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</si>
  <si>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</si>
  <si>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</si>
  <si>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</si>
  <si>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</si>
  <si>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</si>
  <si>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</si>
  <si>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</si>
  <si>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</si>
  <si>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</si>
  <si>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</si>
  <si>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</si>
  <si>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</si>
  <si>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</si>
  <si>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</si>
  <si>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</si>
  <si>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</si>
  <si>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</si>
  <si>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</si>
  <si>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</si>
  <si>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</si>
  <si>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</si>
  <si>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</si>
  <si>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</si>
  <si>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</si>
  <si>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</si>
  <si>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</si>
  <si>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</si>
  <si>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</si>
  <si>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</si>
  <si>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</si>
  <si>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</si>
  <si>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</si>
  <si>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</si>
  <si>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</si>
  <si>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</si>
  <si>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</si>
  <si>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</si>
  <si>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</si>
  <si>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</si>
  <si>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</si>
  <si>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</si>
  <si>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</si>
  <si>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</si>
  <si>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</si>
  <si>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</si>
  <si>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</si>
  <si>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</si>
  <si>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</si>
  <si>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</si>
  <si>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</si>
  <si>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</si>
  <si>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</si>
  <si>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</si>
  <si>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</si>
  <si>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</si>
  <si>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</si>
  <si>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</si>
  <si>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</si>
  <si>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</si>
  <si>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</si>
  <si>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</si>
  <si>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</si>
  <si>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</si>
  <si>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</si>
  <si>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</si>
  <si>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</si>
  <si>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</si>
  <si>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</si>
  <si>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</si>
  <si>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</si>
  <si>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</si>
  <si>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</si>
  <si>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</si>
  <si>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</si>
  <si>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</si>
  <si>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</si>
  <si>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</si>
  <si>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</si>
  <si>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</si>
  <si>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</si>
  <si>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</si>
  <si>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</si>
  <si>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</si>
  <si>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</si>
  <si>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</si>
  <si>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</si>
  <si>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</si>
  <si>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</si>
  <si>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</si>
  <si>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</si>
  <si>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</si>
  <si>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</si>
  <si>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</si>
  <si>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</si>
  <si>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</si>
  <si>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</si>
  <si>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</si>
  <si>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</si>
  <si>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</si>
  <si>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</si>
  <si>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</si>
  <si>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</si>
  <si>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</si>
  <si>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</si>
  <si>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</si>
  <si>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</si>
  <si>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</si>
  <si>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</si>
  <si>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</si>
  <si>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</si>
  <si>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</si>
  <si>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</si>
  <si>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</si>
  <si>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</si>
  <si>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</si>
  <si>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</si>
  <si>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</si>
  <si>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</si>
  <si>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</si>
  <si>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</si>
  <si>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</si>
  <si>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</si>
  <si>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</si>
  <si>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</si>
  <si>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</si>
  <si>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</si>
  <si>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</si>
  <si>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</si>
  <si>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</si>
  <si>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</si>
  <si>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</si>
  <si>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</si>
  <si>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</si>
  <si>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</si>
  <si>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</si>
  <si>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</si>
  <si>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</si>
  <si>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</si>
  <si>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</si>
  <si>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</si>
  <si>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</si>
  <si>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</si>
  <si>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</si>
  <si>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</si>
  <si>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</si>
  <si>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</si>
  <si>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</si>
  <si>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</si>
  <si>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</si>
  <si>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</si>
  <si>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</si>
  <si>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</si>
  <si>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</si>
  <si>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</si>
  <si>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</si>
  <si>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</si>
  <si>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</si>
  <si>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</si>
  <si>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</si>
  <si>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</si>
  <si>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</si>
  <si>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</si>
  <si>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</si>
  <si>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</si>
  <si>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</si>
  <si>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</si>
  <si>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</si>
  <si>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</si>
  <si>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</si>
  <si>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</si>
  <si>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</si>
  <si>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</si>
  <si>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</si>
  <si>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</si>
  <si>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</si>
  <si>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</si>
  <si>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</si>
  <si>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</si>
  <si>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</si>
  <si>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</si>
  <si>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</si>
  <si>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</si>
  <si>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</si>
  <si>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</si>
  <si>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</si>
  <si>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</si>
  <si>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</si>
  <si>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</si>
  <si>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</si>
  <si>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</si>
  <si>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</si>
  <si>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</si>
  <si>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</si>
  <si>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</si>
  <si>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</si>
  <si>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</si>
  <si>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</si>
  <si>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</si>
  <si>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</si>
  <si>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</si>
  <si>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</si>
  <si>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</si>
  <si>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</si>
  <si>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</si>
  <si>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</si>
  <si>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</si>
  <si>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</si>
  <si>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</si>
  <si>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</si>
  <si>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</si>
  <si>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</si>
  <si>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</si>
  <si>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</si>
  <si>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</si>
  <si>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</si>
  <si>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</si>
  <si>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</si>
  <si>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</si>
  <si>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</si>
  <si>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</si>
  <si>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</si>
  <si>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</si>
  <si>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</si>
  <si>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</si>
  <si>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</si>
  <si>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</si>
  <si>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</si>
  <si>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</si>
  <si>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</si>
  <si>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</si>
  <si>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</si>
  <si>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</si>
  <si>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</si>
  <si>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</si>
  <si>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</si>
  <si>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</si>
  <si>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</si>
  <si>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</si>
  <si>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</si>
  <si>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</si>
  <si>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</si>
  <si>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</si>
  <si>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</si>
  <si>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</si>
  <si>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</si>
  <si>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</si>
  <si>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</si>
  <si>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</si>
  <si>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</si>
  <si>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</si>
  <si>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</si>
  <si>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</si>
  <si>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</si>
  <si>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</si>
  <si>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</si>
  <si>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</si>
  <si>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</si>
  <si>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</si>
  <si>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</si>
  <si>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</si>
  <si>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</si>
  <si>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</si>
  <si>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</si>
  <si>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</si>
  <si>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</si>
  <si>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</si>
  <si>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</si>
  <si>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</si>
  <si>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</si>
  <si>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</si>
  <si>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</si>
  <si>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</si>
  <si>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</si>
  <si>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</si>
  <si>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</si>
  <si>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</si>
  <si>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</si>
  <si>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</si>
  <si>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</si>
  <si>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</si>
  <si>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</si>
  <si>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</si>
  <si>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</si>
  <si>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</si>
  <si>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</si>
  <si>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</si>
  <si>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</si>
  <si>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</si>
  <si>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</si>
  <si>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</si>
  <si>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</si>
  <si>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</si>
  <si>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</si>
  <si>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</si>
  <si>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</si>
  <si>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</si>
  <si>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</si>
  <si>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</si>
  <si>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</si>
  <si>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</si>
  <si>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</si>
  <si>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</si>
  <si>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</si>
  <si>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</si>
  <si>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</si>
  <si>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</si>
  <si>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</si>
  <si>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</si>
  <si>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</si>
  <si>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</si>
  <si>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</si>
  <si>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</si>
  <si>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</si>
  <si>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</si>
  <si>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</si>
  <si>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</si>
  <si>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</si>
  <si>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</si>
  <si>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</si>
  <si>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</si>
  <si>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</si>
  <si>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</si>
  <si>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</si>
  <si>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</si>
  <si>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</si>
  <si>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</si>
  <si>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</si>
  <si>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</si>
  <si>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</si>
  <si>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</si>
  <si>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</si>
  <si>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</si>
  <si>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</si>
  <si>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</si>
  <si>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</si>
  <si>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</si>
  <si>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</si>
  <si>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</si>
  <si>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</si>
  <si>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</si>
  <si>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</si>
  <si>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</si>
  <si>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</si>
  <si>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</si>
  <si>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</si>
  <si>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</si>
  <si>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</si>
  <si>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</si>
  <si>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</si>
  <si>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</si>
  <si>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</si>
  <si>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</si>
  <si>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</si>
  <si>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</si>
  <si>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</si>
  <si>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</si>
  <si>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</si>
  <si>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</si>
  <si>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</si>
  <si>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</si>
  <si>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</si>
  <si>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</si>
  <si>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</si>
  <si>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</si>
  <si>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</si>
  <si>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</si>
  <si>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</si>
  <si>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</si>
  <si>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</si>
  <si>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</si>
  <si>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</si>
  <si>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</si>
  <si>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</si>
  <si>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</si>
  <si>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</si>
  <si>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</si>
  <si>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</si>
  <si>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</si>
  <si>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</si>
  <si>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</si>
  <si>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</si>
  <si>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</si>
  <si>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</si>
  <si>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</si>
  <si>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</si>
  <si>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</si>
  <si>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</si>
  <si>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</si>
  <si>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</si>
  <si>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</si>
  <si>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</si>
  <si>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</si>
  <si>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</si>
  <si>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</si>
  <si>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</si>
  <si>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</si>
  <si>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</si>
  <si>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</si>
  <si>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</si>
  <si>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</si>
  <si>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</si>
  <si>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</si>
  <si>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</si>
  <si>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</si>
  <si>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</si>
  <si>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</si>
  <si>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</si>
  <si>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</si>
  <si>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</si>
  <si>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</si>
  <si>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</si>
  <si>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</si>
  <si>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</si>
  <si>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</si>
  <si>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</si>
  <si>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</si>
  <si>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</si>
  <si>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</si>
  <si>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</si>
  <si>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</si>
  <si>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</si>
  <si>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</si>
  <si>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</si>
  <si>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</si>
  <si>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</si>
  <si>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</si>
  <si>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</si>
  <si>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</si>
  <si>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</si>
  <si>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</si>
  <si>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</si>
  <si>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</si>
  <si>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</si>
  <si>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</si>
  <si>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</si>
  <si>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</si>
  <si>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</si>
  <si>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</si>
  <si>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</si>
  <si>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</si>
  <si>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</si>
  <si>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</si>
  <si>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</si>
  <si>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</si>
  <si>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</si>
  <si>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</si>
  <si>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</si>
  <si>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</si>
  <si>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</si>
  <si>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</si>
  <si>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</si>
  <si>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</si>
  <si>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</si>
  <si>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</si>
  <si>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</si>
  <si>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</si>
  <si>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</si>
  <si>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</si>
  <si>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</si>
  <si>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</si>
  <si>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</si>
  <si>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</si>
  <si>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</si>
  <si>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</si>
  <si>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</si>
  <si>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</si>
  <si>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</si>
  <si>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</si>
  <si>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</si>
  <si>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</si>
  <si>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</si>
  <si>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</si>
  <si>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</si>
  <si>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</si>
  <si>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</si>
  <si>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</si>
  <si>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</si>
  <si>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</si>
  <si>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</si>
  <si>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</si>
  <si>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</si>
  <si>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</si>
  <si>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</si>
  <si>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</si>
  <si>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</si>
  <si>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</si>
  <si>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</si>
  <si>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</si>
  <si>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</si>
  <si>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</si>
  <si>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</si>
  <si>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</si>
  <si>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</si>
  <si>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</si>
  <si>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</si>
  <si>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</si>
  <si>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</si>
  <si>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</si>
  <si>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</si>
  <si>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</si>
  <si>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</si>
  <si>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</si>
  <si>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</si>
  <si>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</si>
  <si>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</si>
  <si>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</si>
  <si>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</si>
  <si>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</si>
  <si>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</si>
  <si>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</si>
  <si>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</si>
  <si>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</si>
  <si>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</si>
  <si>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</si>
  <si>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</si>
  <si>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</si>
  <si>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</si>
  <si>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</si>
  <si>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</si>
  <si>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</si>
  <si>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</si>
  <si>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</si>
  <si>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</si>
  <si>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</si>
  <si>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</si>
  <si>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</si>
  <si>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</si>
  <si>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</si>
  <si>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</si>
  <si>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</si>
  <si>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</si>
  <si>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</si>
  <si>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</si>
  <si>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</si>
  <si>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</si>
  <si>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</si>
  <si>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</si>
  <si>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</si>
  <si>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</si>
  <si>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</si>
  <si>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</si>
  <si>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</si>
  <si>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</si>
  <si>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</si>
  <si>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</si>
  <si>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</si>
  <si>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</si>
  <si>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</si>
  <si>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</si>
  <si>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</si>
  <si>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</si>
  <si>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</si>
  <si>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</si>
  <si>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</si>
  <si>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</si>
  <si>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</si>
  <si>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</si>
  <si>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</si>
  <si>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</si>
  <si>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</si>
  <si>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</si>
  <si>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</si>
  <si>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</si>
  <si>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</si>
  <si>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</si>
  <si>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</si>
  <si>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</si>
  <si>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</si>
  <si>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</si>
  <si>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</si>
  <si>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</si>
  <si>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</si>
  <si>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</si>
  <si>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</si>
  <si>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</si>
  <si>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</si>
  <si>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</si>
  <si>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</si>
  <si>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</si>
  <si>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</si>
  <si>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</si>
  <si>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</si>
  <si>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</si>
  <si>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</si>
  <si>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</si>
  <si>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</si>
  <si>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</si>
  <si>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</si>
  <si>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</si>
  <si>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</si>
  <si>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</si>
  <si>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</si>
  <si>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</si>
  <si>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</si>
  <si>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</si>
  <si>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</si>
  <si>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</si>
  <si>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</si>
  <si>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</si>
  <si>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</si>
  <si>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</si>
  <si>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</si>
  <si>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</si>
  <si>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</si>
  <si>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</si>
  <si>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</si>
  <si>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</si>
  <si>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</si>
  <si>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</si>
  <si>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</si>
  <si>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</si>
  <si>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</si>
  <si>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</si>
  <si>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</si>
  <si>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</si>
  <si>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</si>
  <si>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</si>
  <si>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</si>
  <si>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</si>
  <si>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</si>
  <si>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</si>
  <si>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</si>
  <si>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</si>
  <si>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</si>
  <si>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</si>
  <si>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</si>
  <si>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</si>
  <si>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</si>
  <si>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</si>
  <si>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</si>
  <si>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</si>
  <si>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</si>
  <si>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</si>
  <si>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</si>
  <si>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</si>
  <si>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</si>
  <si>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</si>
  <si>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</si>
  <si>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</si>
  <si>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</si>
  <si>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</si>
  <si>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</si>
  <si>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</si>
  <si>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</si>
  <si>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</si>
  <si>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</si>
  <si>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</si>
  <si>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</si>
  <si>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</si>
  <si>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</si>
  <si>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</si>
  <si>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</si>
  <si>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</si>
  <si>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</si>
  <si>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</si>
  <si>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</si>
  <si>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</si>
  <si>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</si>
  <si>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</si>
  <si>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</si>
  <si>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</si>
  <si>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</si>
  <si>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</si>
  <si>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</si>
  <si>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</si>
  <si>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</si>
  <si>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</si>
  <si>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</si>
  <si>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</si>
  <si>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</si>
  <si>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</si>
  <si>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</si>
  <si>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</si>
  <si>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</si>
  <si>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</si>
  <si>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</si>
  <si>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</si>
  <si>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</si>
  <si>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</si>
  <si>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</si>
  <si>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</si>
  <si>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</si>
  <si>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</si>
  <si>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</si>
  <si>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</si>
  <si>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</si>
  <si>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</si>
  <si>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</si>
  <si>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</si>
  <si>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</si>
  <si>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</si>
  <si>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</si>
  <si>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</si>
  <si>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</si>
  <si>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</si>
  <si>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</si>
  <si>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</si>
  <si>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</si>
  <si>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</si>
  <si>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</si>
  <si>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</si>
  <si>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</si>
  <si>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</si>
  <si>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</si>
  <si>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</si>
  <si>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</si>
  <si>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</si>
  <si>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</si>
  <si>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</si>
  <si>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</si>
  <si>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</si>
  <si>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</si>
  <si>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</si>
  <si>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</si>
  <si>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</si>
  <si>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</si>
  <si>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</si>
  <si>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</si>
  <si>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</si>
  <si>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</si>
  <si>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</si>
  <si>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</si>
  <si>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</si>
  <si>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</si>
  <si>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</si>
  <si>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</si>
  <si>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</si>
  <si>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</si>
  <si>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</si>
  <si>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</si>
  <si>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</si>
  <si>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</si>
  <si>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</si>
  <si>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</si>
  <si>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</si>
  <si>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</si>
  <si>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</si>
  <si>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</si>
  <si>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</si>
  <si>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</si>
  <si>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</si>
  <si>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</si>
  <si>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</si>
  <si>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</si>
  <si>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</si>
  <si>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</si>
  <si>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</si>
  <si>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</si>
  <si>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</si>
  <si>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</si>
  <si>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</si>
  <si>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</si>
  <si>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</si>
  <si>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</si>
  <si>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</si>
  <si>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</si>
  <si>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</si>
  <si>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</si>
  <si>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</si>
  <si>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</si>
  <si>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</si>
  <si>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</si>
  <si>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</si>
  <si>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</si>
  <si>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</si>
  <si>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</si>
  <si>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</si>
  <si>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</si>
  <si>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</si>
  <si>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</si>
  <si>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</si>
  <si>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</si>
  <si>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</si>
  <si>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</si>
  <si>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</si>
  <si>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</si>
  <si>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</si>
  <si>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</si>
  <si>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</si>
  <si>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</si>
  <si>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</si>
  <si>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</si>
  <si>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</si>
  <si>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</si>
  <si>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</si>
  <si>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</si>
  <si>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</si>
  <si>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</si>
  <si>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</si>
  <si>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</si>
  <si>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</si>
  <si>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</si>
  <si>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</si>
  <si>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</si>
  <si>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</si>
  <si>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</si>
  <si>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</si>
  <si>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</si>
  <si>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</si>
  <si>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</si>
  <si>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</si>
  <si>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</si>
  <si>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</si>
  <si>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</si>
  <si>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</si>
  <si>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</si>
  <si>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</si>
  <si>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</si>
  <si>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</si>
  <si>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</si>
  <si>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</si>
  <si>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</si>
  <si>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</si>
  <si>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</si>
  <si>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</si>
  <si>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</si>
  <si>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</si>
  <si>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</si>
  <si>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</si>
  <si>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</si>
  <si>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</si>
  <si>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</si>
  <si>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</si>
  <si>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</si>
  <si>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</si>
  <si>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</si>
  <si>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</si>
  <si>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</si>
  <si>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</si>
  <si>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</si>
  <si>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</si>
  <si>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</si>
  <si>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</si>
  <si>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</si>
  <si>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</si>
  <si>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</si>
  <si>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</si>
  <si>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</si>
  <si>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</si>
  <si>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</si>
  <si>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</si>
  <si>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</si>
  <si>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</si>
  <si>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</si>
  <si>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</si>
  <si>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</si>
  <si>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</si>
  <si>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</si>
  <si>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</si>
  <si>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</si>
  <si>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</si>
  <si>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</si>
  <si>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</si>
  <si>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</si>
  <si>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</si>
  <si>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</si>
  <si>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</si>
  <si>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</si>
  <si>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</si>
  <si>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</si>
  <si>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</si>
  <si>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</si>
  <si>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</si>
  <si>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</si>
  <si>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</si>
  <si>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</si>
  <si>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</si>
  <si>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</si>
  <si>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</si>
  <si>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</si>
  <si>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</si>
  <si>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</si>
  <si>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</si>
  <si>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</si>
  <si>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</si>
  <si>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</si>
  <si>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</si>
  <si>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</si>
  <si>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</si>
  <si>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</si>
  <si>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</si>
  <si>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</si>
  <si>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</si>
  <si>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</si>
  <si>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</si>
  <si>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</si>
  <si>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</si>
  <si>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</si>
  <si>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</si>
  <si>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</si>
  <si>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</si>
  <si>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</si>
  <si>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</si>
  <si>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</si>
  <si>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</si>
  <si>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</si>
  <si>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</si>
  <si>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</si>
  <si>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</si>
  <si>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</si>
  <si>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</si>
  <si>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</si>
  <si>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</si>
  <si>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</si>
  <si>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</si>
  <si>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</si>
  <si>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</si>
  <si>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</si>
  <si>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</si>
  <si>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</si>
  <si>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</si>
  <si>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</si>
  <si>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</si>
  <si>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</si>
  <si>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</si>
  <si>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</si>
  <si>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</si>
  <si>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</si>
  <si>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</si>
  <si>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</si>
  <si>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</si>
  <si>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</si>
  <si>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</si>
  <si>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</si>
  <si>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</si>
  <si>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</si>
  <si>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</si>
  <si>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</si>
  <si>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</si>
  <si>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</si>
  <si>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</si>
  <si>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</si>
  <si>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</si>
  <si>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</si>
  <si>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</si>
  <si>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</si>
  <si>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</si>
  <si>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</si>
  <si>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</si>
  <si>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</si>
  <si>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</si>
  <si>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</si>
  <si>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</si>
  <si>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</si>
  <si>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</si>
  <si>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</si>
  <si>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</si>
  <si>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</si>
  <si>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</si>
  <si>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</si>
  <si>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</si>
  <si>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</si>
  <si>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</si>
  <si>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</si>
  <si>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</si>
  <si>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</si>
  <si>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</si>
  <si>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</si>
  <si>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</si>
  <si>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</si>
  <si>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</si>
  <si>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</si>
  <si>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</si>
  <si>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</si>
  <si>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</si>
  <si>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</si>
  <si>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</si>
  <si>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</si>
  <si>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</si>
  <si>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</si>
  <si>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</si>
  <si>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</si>
  <si>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</si>
  <si>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</si>
  <si>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</si>
  <si>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</si>
  <si>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</si>
  <si>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</si>
  <si>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</si>
  <si>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</si>
  <si>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</si>
  <si>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</si>
  <si>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</si>
  <si>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</si>
  <si>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</si>
  <si>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</si>
  <si>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</si>
  <si>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</si>
  <si>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</si>
  <si>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</si>
  <si>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</si>
  <si>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</si>
  <si>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</si>
  <si>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</si>
  <si>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</si>
  <si>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</si>
  <si>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</si>
  <si>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</si>
  <si>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</si>
  <si>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</si>
  <si>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</si>
  <si>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</si>
  <si>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</si>
  <si>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</si>
  <si>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</si>
  <si>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</si>
  <si>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</si>
  <si>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</si>
  <si>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</si>
  <si>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</si>
  <si>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</si>
  <si>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</si>
  <si>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</si>
  <si>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</si>
  <si>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</si>
  <si>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</si>
  <si>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</si>
  <si>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</si>
  <si>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</si>
  <si>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</si>
  <si>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</si>
  <si>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</si>
  <si>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</si>
  <si>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</si>
  <si>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</si>
  <si>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</si>
  <si>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</si>
  <si>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</si>
  <si>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</si>
  <si>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</si>
  <si>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</si>
  <si>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</si>
  <si>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</si>
  <si>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</si>
  <si>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</si>
  <si>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</si>
  <si>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</si>
  <si>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</si>
  <si>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</si>
  <si>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</si>
  <si>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</si>
  <si>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</si>
  <si>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</si>
  <si>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</si>
  <si>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</si>
  <si>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</si>
  <si>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</si>
  <si>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</si>
  <si>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</si>
  <si>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</si>
  <si>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</si>
  <si>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</si>
  <si>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</si>
  <si>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</si>
  <si>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</si>
  <si>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</si>
  <si>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</si>
  <si>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</si>
  <si>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</si>
  <si>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</si>
  <si>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</si>
  <si>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</si>
  <si>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</si>
  <si>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</si>
  <si>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</si>
  <si>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</si>
  <si>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</si>
  <si>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</si>
  <si>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</si>
  <si>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</si>
  <si>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</si>
  <si>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</si>
  <si>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</si>
  <si>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</si>
  <si>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</si>
  <si>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</si>
  <si>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</si>
  <si>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</si>
  <si>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</si>
  <si>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</si>
  <si>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</si>
  <si>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</si>
  <si>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</si>
  <si>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</si>
  <si>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</si>
  <si>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</si>
  <si>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</si>
  <si>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</si>
  <si>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</si>
  <si>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</si>
  <si>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</si>
  <si>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</si>
  <si>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</si>
  <si>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</si>
  <si>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</si>
  <si>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</si>
  <si>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</si>
  <si>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</si>
  <si>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</si>
  <si>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</si>
  <si>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</si>
  <si>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</si>
  <si>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</si>
  <si>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</si>
  <si>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</si>
  <si>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</si>
  <si>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</si>
  <si>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</si>
  <si>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</si>
  <si>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</si>
  <si>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</si>
  <si>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</si>
  <si>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</si>
  <si>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</si>
  <si>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</si>
  <si>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</si>
  <si>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</si>
  <si>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</si>
  <si>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</si>
  <si>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</si>
  <si>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</si>
  <si>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</si>
  <si>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</si>
  <si>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</si>
  <si>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</si>
  <si>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</si>
  <si>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</si>
  <si>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</si>
  <si>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</si>
  <si>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</si>
  <si>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</si>
  <si>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</si>
  <si>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</si>
  <si>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</si>
  <si>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</si>
  <si>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</si>
  <si>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</si>
  <si>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</si>
  <si>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</si>
  <si>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</si>
  <si>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</si>
  <si>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</si>
  <si>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</si>
  <si>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</si>
  <si>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</si>
  <si>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</si>
  <si>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</si>
  <si>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</si>
  <si>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</si>
  <si>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</si>
  <si>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</si>
  <si>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</si>
  <si>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</si>
  <si>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</si>
  <si>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</si>
  <si>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</si>
  <si>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</si>
  <si>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</si>
  <si>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</si>
  <si>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</si>
  <si>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</si>
  <si>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</si>
  <si>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</si>
  <si>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</si>
  <si>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</si>
  <si>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</si>
  <si>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</si>
  <si>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</si>
  <si>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</si>
  <si>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</si>
  <si>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</si>
  <si>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</si>
  <si>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</si>
  <si>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</si>
  <si>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</si>
  <si>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</si>
  <si>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</si>
  <si>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</si>
  <si>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</si>
  <si>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</si>
  <si>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</si>
  <si>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</si>
  <si>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</si>
  <si>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</si>
  <si>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</si>
  <si>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</si>
  <si>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</si>
  <si>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</si>
  <si>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</si>
  <si>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</si>
  <si>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</si>
  <si>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</si>
  <si>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</si>
  <si>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</si>
  <si>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</si>
  <si>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</si>
  <si>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</si>
  <si>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</si>
  <si>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</si>
  <si>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</si>
  <si>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</si>
  <si>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</si>
  <si>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</si>
  <si>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</si>
  <si>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</si>
  <si>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</si>
  <si>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</si>
  <si>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</si>
  <si>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</si>
  <si>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</si>
  <si>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</si>
  <si>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</si>
  <si>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</si>
  <si>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</si>
  <si>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</si>
  <si>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</si>
  <si>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</si>
  <si>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</si>
  <si>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</si>
  <si>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</si>
  <si>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</si>
  <si>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</si>
  <si>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</si>
  <si>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</si>
  <si>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</si>
  <si>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</si>
  <si>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</si>
  <si>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</si>
  <si>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</si>
  <si>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</si>
  <si>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</si>
  <si>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</si>
  <si>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</si>
  <si>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</si>
  <si>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</si>
  <si>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</si>
  <si>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</si>
  <si>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</si>
  <si>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</si>
  <si>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</si>
  <si>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</si>
  <si>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</si>
  <si>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</si>
  <si>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</si>
  <si>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</si>
  <si>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</si>
  <si>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</si>
  <si>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</si>
  <si>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</si>
  <si>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</si>
  <si>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</si>
  <si>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</si>
  <si>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</si>
  <si>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</si>
  <si>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</si>
  <si>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</si>
  <si>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</si>
  <si>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</si>
  <si>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</si>
  <si>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</si>
  <si>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</si>
  <si>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</si>
  <si>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</si>
  <si>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</si>
  <si>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</si>
  <si>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</si>
  <si>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</si>
  <si>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</si>
  <si>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</si>
  <si>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</si>
  <si>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</si>
  <si>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</si>
  <si>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</si>
  <si>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</si>
  <si>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</si>
  <si>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</si>
  <si>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</si>
  <si>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</si>
  <si>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</si>
  <si>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</si>
  <si>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</si>
  <si>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</si>
  <si>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</si>
  <si>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</si>
  <si>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</si>
  <si>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</si>
  <si>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</si>
  <si>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</si>
  <si>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</si>
  <si>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</si>
  <si>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</si>
  <si>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</si>
  <si>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</si>
  <si>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</si>
  <si>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</si>
  <si>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</si>
  <si>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</si>
  <si>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</si>
  <si>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</si>
  <si>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</si>
  <si>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</si>
  <si>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</si>
  <si>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</si>
  <si>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</si>
  <si>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</si>
  <si>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</si>
  <si>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</si>
  <si>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</si>
  <si>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</si>
  <si>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</si>
  <si>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</si>
  <si>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</si>
  <si>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</si>
  <si>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</si>
  <si>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</si>
  <si>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</si>
  <si>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</si>
  <si>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</si>
  <si>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</si>
  <si>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</si>
  <si>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</si>
  <si>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</si>
  <si>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</si>
  <si>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</si>
  <si>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</si>
  <si>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</si>
  <si>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</si>
  <si>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</si>
  <si>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</si>
  <si>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</si>
  <si>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</si>
  <si>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</si>
  <si>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</si>
  <si>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</si>
  <si>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</si>
  <si>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</si>
  <si>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</si>
  <si>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</si>
  <si>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</si>
  <si>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</si>
  <si>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</si>
  <si>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</si>
  <si>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</si>
  <si>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</si>
  <si>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</si>
  <si>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</si>
  <si>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</si>
  <si>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</si>
  <si>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</si>
  <si>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</si>
  <si>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</si>
  <si>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</si>
  <si>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</si>
  <si>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</si>
  <si>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</si>
  <si>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</si>
  <si>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</si>
  <si>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</si>
  <si>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</si>
  <si>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</si>
  <si>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</si>
  <si>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</si>
  <si>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</si>
  <si>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</si>
  <si>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</si>
  <si>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</si>
  <si>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</si>
  <si>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</si>
  <si>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</si>
  <si>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</si>
  <si>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</si>
  <si>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</si>
  <si>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</si>
  <si>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</si>
  <si>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</si>
  <si>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</si>
  <si>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</si>
  <si>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</si>
  <si>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</si>
  <si>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</si>
  <si>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</si>
  <si>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</si>
  <si>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</si>
  <si>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</si>
  <si>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</si>
  <si>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</si>
  <si>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</si>
  <si>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</si>
  <si>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</si>
  <si>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</si>
  <si>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</si>
  <si>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</si>
  <si>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</si>
  <si>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</si>
  <si>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</si>
  <si>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</si>
  <si>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</si>
  <si>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</si>
  <si>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</si>
  <si>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</si>
  <si>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</si>
  <si>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</si>
  <si>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</si>
  <si>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</si>
  <si>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</si>
  <si>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</si>
  <si>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</si>
  <si>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</si>
  <si>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</si>
  <si>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</si>
  <si>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</si>
  <si>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</si>
  <si>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</si>
  <si>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</si>
  <si>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</si>
  <si>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</si>
  <si>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</si>
  <si>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</si>
  <si>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</si>
  <si>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</si>
  <si>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</si>
  <si>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</si>
  <si>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</si>
  <si>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</si>
  <si>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</si>
  <si>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</si>
  <si>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</si>
  <si>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</si>
  <si>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</si>
  <si>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</si>
  <si>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</si>
  <si>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</si>
  <si>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</si>
  <si>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</si>
  <si>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</si>
  <si>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</si>
  <si>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</si>
  <si>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</si>
  <si>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</si>
  <si>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</si>
  <si>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</si>
  <si>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</si>
  <si>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</si>
  <si>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</si>
  <si>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</si>
  <si>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</si>
  <si>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</si>
  <si>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</si>
  <si>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</si>
  <si>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</si>
  <si>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</si>
  <si>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</si>
  <si>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</si>
  <si>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</si>
  <si>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</si>
  <si>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</si>
  <si>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</si>
  <si>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</si>
  <si>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</si>
  <si>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</si>
  <si>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</si>
  <si>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</si>
  <si>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</si>
  <si>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</si>
  <si>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</si>
  <si>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</si>
  <si>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</si>
  <si>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</si>
  <si>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</si>
  <si>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</si>
  <si>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</si>
  <si>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</si>
  <si>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</si>
  <si>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</si>
  <si>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</si>
  <si>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</si>
  <si>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</si>
  <si>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</si>
  <si>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</si>
  <si>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</si>
  <si>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</si>
  <si>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</si>
  <si>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</si>
  <si>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</si>
  <si>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</si>
  <si>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</si>
  <si>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</si>
  <si>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</si>
  <si>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</si>
  <si>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</si>
  <si>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</si>
  <si>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</si>
  <si>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</si>
  <si>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</si>
  <si>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</si>
  <si>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</si>
  <si>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</si>
  <si>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</si>
  <si>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</si>
  <si>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</si>
  <si>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</si>
  <si>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</si>
  <si>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</si>
  <si>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</si>
  <si>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</si>
  <si>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</si>
  <si>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</si>
  <si>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</si>
  <si>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</si>
  <si>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</si>
  <si>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</si>
  <si>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</si>
  <si>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</si>
  <si>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</si>
  <si>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</si>
  <si>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</si>
  <si>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</si>
  <si>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</si>
  <si>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</si>
  <si>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</si>
  <si>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</si>
  <si>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</si>
  <si>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</si>
  <si>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</si>
  <si>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</si>
  <si>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</si>
  <si>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</si>
  <si>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</si>
  <si>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</si>
  <si>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</si>
  <si>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</si>
  <si>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</si>
  <si>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</si>
  <si>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</si>
  <si>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</si>
  <si>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</si>
  <si>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</si>
  <si>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</si>
  <si>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</si>
  <si>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</si>
  <si>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</si>
  <si>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</si>
  <si>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</si>
  <si>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</si>
  <si>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</si>
  <si>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</si>
  <si>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</si>
  <si>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</si>
  <si>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</si>
  <si>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</si>
  <si>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</si>
  <si>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</si>
  <si>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</si>
  <si>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</si>
  <si>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</si>
  <si>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</si>
  <si>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</si>
  <si>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</si>
  <si>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</si>
  <si>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</si>
  <si>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</si>
  <si>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</si>
  <si>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</si>
  <si>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</si>
  <si>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</si>
  <si>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</si>
  <si>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</si>
  <si>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</si>
  <si>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</si>
  <si>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</si>
  <si>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</si>
  <si>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</si>
  <si>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</si>
  <si>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</si>
  <si>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</si>
  <si>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</si>
  <si>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</si>
  <si>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</si>
  <si>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</si>
  <si>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</si>
  <si>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</si>
  <si>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</si>
  <si>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</si>
  <si>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</si>
  <si>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</si>
  <si>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</si>
  <si>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</si>
  <si>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</si>
  <si>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</si>
  <si>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</si>
  <si>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</si>
  <si>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</si>
  <si>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</si>
  <si>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</si>
  <si>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</si>
  <si>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</si>
  <si>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</si>
  <si>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</si>
  <si>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</si>
  <si>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</si>
  <si>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</si>
  <si>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</si>
  <si>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</si>
  <si>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</si>
  <si>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</si>
  <si>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</si>
  <si>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</si>
  <si>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</si>
  <si>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</si>
  <si>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</si>
  <si>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</si>
  <si>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</si>
  <si>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</si>
  <si>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</si>
  <si>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</si>
  <si>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</si>
  <si>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</si>
  <si>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</si>
  <si>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</si>
  <si>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</si>
  <si>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</si>
  <si>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</si>
  <si>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</si>
  <si>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</si>
  <si>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</si>
  <si>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</si>
  <si>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</si>
  <si>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</si>
  <si>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</si>
  <si>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</si>
  <si>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</si>
  <si>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</si>
  <si>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</si>
  <si>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</si>
  <si>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</si>
  <si>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</si>
  <si>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</si>
  <si>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</si>
  <si>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</si>
  <si>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</si>
  <si>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</si>
  <si>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</si>
  <si>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</si>
  <si>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</si>
  <si>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</si>
  <si>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</si>
  <si>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</si>
  <si>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</si>
  <si>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</si>
  <si>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</si>
  <si>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</si>
  <si>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</si>
  <si>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</si>
  <si>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</si>
  <si>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</si>
  <si>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</si>
  <si>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</si>
  <si>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</si>
  <si>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</si>
  <si>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</si>
  <si>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</si>
  <si>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</si>
  <si>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</si>
  <si>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</si>
  <si>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</si>
  <si>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</si>
  <si>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</si>
  <si>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</si>
  <si>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</si>
  <si>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</si>
  <si>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</si>
  <si>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</si>
  <si>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</si>
  <si>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</si>
  <si>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</si>
  <si>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</si>
  <si>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</si>
  <si>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</si>
  <si>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</si>
  <si>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</si>
  <si>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</si>
  <si>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</si>
  <si>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</si>
  <si>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</si>
  <si>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</si>
  <si>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</si>
  <si>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</si>
  <si>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</si>
  <si>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</si>
  <si>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</si>
  <si>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</si>
  <si>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</si>
  <si>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</si>
  <si>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</si>
  <si>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</si>
  <si>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</si>
  <si>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</si>
  <si>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</si>
  <si>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</si>
  <si>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</si>
  <si>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</si>
  <si>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</si>
  <si>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</si>
  <si>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</si>
  <si>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</si>
  <si>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</si>
  <si>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</si>
  <si>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</si>
  <si>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</si>
  <si>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</si>
  <si>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</si>
  <si>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</si>
  <si>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</si>
  <si>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</si>
  <si>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</si>
  <si>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</si>
  <si>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</si>
  <si>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</si>
  <si>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</si>
  <si>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</si>
  <si>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</si>
  <si>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</si>
  <si>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</si>
  <si>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</si>
  <si>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</si>
  <si>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</si>
  <si>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</si>
  <si>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</si>
  <si>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</si>
  <si>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</si>
  <si>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</si>
  <si>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</si>
  <si>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</si>
  <si>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</si>
  <si>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</si>
  <si>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</si>
  <si>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</si>
  <si>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</si>
  <si>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</si>
  <si>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</si>
  <si>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</si>
  <si>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</si>
  <si>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</si>
  <si>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</si>
  <si>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</si>
  <si>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</si>
  <si>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</si>
  <si>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</si>
  <si>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</si>
  <si>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</si>
  <si>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</si>
  <si>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</si>
  <si>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</si>
  <si>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</si>
  <si>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</si>
  <si>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</si>
  <si>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</si>
  <si>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</si>
  <si>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</si>
  <si>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</si>
  <si>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</si>
  <si>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</si>
  <si>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</si>
  <si>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</si>
  <si>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</si>
  <si>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</si>
  <si>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</si>
  <si>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</si>
  <si>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</si>
  <si>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</si>
  <si>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</si>
  <si>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</si>
  <si>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</si>
  <si>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</si>
  <si>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</si>
  <si>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</si>
  <si>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</si>
  <si>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</si>
  <si>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</si>
  <si>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</si>
  <si>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</si>
  <si>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</si>
  <si>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</si>
  <si>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</si>
  <si>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</si>
  <si>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</si>
  <si>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</si>
  <si>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</si>
  <si>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</si>
  <si>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</si>
  <si>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</si>
  <si>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</si>
  <si>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</si>
  <si>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</si>
  <si>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</si>
  <si>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</si>
  <si>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</si>
  <si>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</si>
  <si>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</si>
  <si>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</si>
  <si>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</si>
  <si>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</si>
  <si>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</si>
  <si>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</si>
  <si>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</si>
  <si>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</si>
  <si>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</si>
  <si>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</si>
  <si>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</si>
  <si>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</si>
  <si>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</si>
  <si>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</si>
  <si>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</si>
  <si>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</si>
  <si>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</si>
  <si>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</si>
  <si>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</si>
  <si>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</si>
  <si>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</si>
  <si>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</si>
  <si>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</si>
  <si>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</si>
  <si>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</si>
  <si>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</si>
  <si>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</si>
  <si>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</si>
  <si>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</si>
  <si>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</si>
  <si>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</si>
  <si>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</si>
  <si>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</si>
  <si>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</si>
  <si>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</si>
  <si>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</si>
  <si>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</si>
  <si>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</si>
  <si>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</si>
  <si>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</si>
  <si>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</si>
  <si>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</si>
  <si>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</si>
  <si>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</si>
  <si>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</si>
  <si>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</si>
  <si>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</si>
  <si>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</si>
  <si>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</si>
  <si>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</si>
  <si>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</si>
  <si>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</si>
  <si>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</si>
  <si>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</si>
  <si>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</si>
  <si>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</si>
  <si>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</si>
  <si>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</si>
  <si>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</si>
  <si>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</si>
  <si>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</si>
  <si>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</si>
  <si>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</si>
  <si>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</si>
  <si>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</si>
  <si>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</si>
  <si>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</si>
  <si>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</si>
  <si>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</si>
  <si>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</si>
  <si>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</si>
  <si>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</si>
  <si>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</si>
  <si>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</si>
  <si>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</si>
  <si>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</si>
  <si>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</si>
  <si>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</si>
  <si>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</si>
  <si>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</si>
  <si>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</si>
  <si>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</si>
  <si>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</si>
  <si>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</si>
  <si>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</si>
  <si>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</si>
  <si>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</si>
  <si>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</si>
  <si>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</si>
  <si>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</si>
  <si>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</si>
  <si>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</si>
  <si>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</si>
  <si>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</si>
  <si>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</si>
  <si>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</si>
  <si>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</si>
  <si>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</si>
  <si>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</si>
  <si>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</si>
  <si>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</si>
  <si>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</si>
  <si>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</si>
  <si>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</si>
  <si>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</si>
  <si>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</si>
  <si>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</si>
  <si>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</si>
  <si>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</si>
  <si>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</si>
  <si>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</si>
  <si>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</si>
  <si>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</si>
  <si>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</si>
  <si>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</si>
  <si>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</si>
  <si>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</si>
  <si>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</si>
  <si>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</si>
  <si>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</si>
  <si>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</si>
  <si>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</si>
  <si>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</si>
  <si>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</si>
  <si>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</si>
  <si>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</si>
  <si>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</si>
  <si>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</si>
  <si>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</si>
  <si>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</si>
  <si>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</si>
  <si>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</si>
  <si>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</si>
  <si>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</si>
  <si>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</si>
  <si>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</si>
  <si>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</si>
  <si>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</si>
  <si>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</si>
  <si>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</si>
  <si>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</si>
  <si>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</si>
  <si>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</si>
  <si>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</si>
  <si>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</si>
  <si>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</si>
  <si>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</si>
  <si>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</si>
  <si>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</si>
  <si>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</si>
  <si>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</si>
  <si>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</si>
  <si>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</si>
  <si>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</si>
  <si>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</si>
  <si>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</si>
  <si>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</si>
  <si>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</si>
  <si>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</si>
  <si>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</si>
  <si>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</si>
  <si>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</si>
  <si>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</si>
  <si>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</si>
  <si>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</si>
  <si>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</si>
  <si>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</si>
  <si>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</si>
  <si>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</si>
  <si>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</si>
  <si>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</si>
  <si>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</si>
  <si>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</si>
  <si>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</si>
  <si>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</si>
  <si>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</si>
  <si>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</si>
  <si>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</si>
  <si>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</si>
  <si>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</si>
  <si>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</si>
  <si>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</si>
  <si>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</si>
  <si>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</si>
  <si>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</si>
  <si>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</si>
  <si>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</si>
  <si>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</si>
  <si>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</si>
  <si>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</si>
  <si>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</si>
  <si>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</si>
  <si>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</si>
  <si>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</si>
  <si>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</si>
  <si>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</si>
  <si>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</si>
  <si>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</si>
  <si>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</si>
  <si>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</si>
  <si>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</si>
  <si>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</si>
  <si>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</si>
  <si>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</si>
  <si>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</si>
  <si>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</si>
  <si>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</si>
  <si>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</si>
  <si>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</si>
  <si>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</si>
  <si>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</si>
  <si>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</si>
  <si>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</si>
  <si>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</si>
  <si>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</si>
  <si>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</si>
  <si>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</si>
  <si>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</si>
  <si>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</si>
  <si>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</si>
  <si>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</si>
  <si>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</si>
  <si>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</si>
  <si>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</si>
  <si>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</si>
  <si>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</si>
  <si>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</si>
  <si>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</si>
  <si>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</si>
  <si>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</si>
  <si>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</si>
  <si>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</si>
  <si>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</si>
  <si>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</si>
  <si>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</si>
  <si>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</si>
  <si>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</si>
  <si>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</si>
  <si>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</si>
  <si>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</si>
  <si>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</si>
  <si>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</si>
  <si>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</si>
  <si>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</si>
  <si>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</si>
  <si>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</si>
  <si>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</si>
  <si>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</si>
  <si>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</si>
  <si>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</si>
  <si>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</si>
  <si>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</si>
  <si>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</si>
  <si>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</si>
  <si>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</si>
  <si>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</si>
  <si>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</si>
  <si>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</si>
  <si>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</si>
  <si>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</si>
  <si>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</si>
  <si>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</si>
  <si>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</si>
  <si>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</si>
  <si>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</si>
  <si>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</si>
  <si>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</si>
  <si>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</si>
  <si>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</si>
  <si>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</si>
  <si>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</si>
  <si>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</si>
  <si>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</si>
  <si>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</si>
  <si>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</si>
  <si>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</si>
  <si>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</si>
  <si>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</si>
  <si>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</si>
  <si>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</si>
  <si>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</si>
  <si>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</si>
  <si>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</si>
  <si>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</si>
  <si>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</si>
  <si>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</si>
  <si>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</si>
  <si>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</si>
  <si>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</si>
  <si>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</si>
  <si>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</si>
  <si>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</si>
  <si>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</si>
  <si>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</si>
  <si>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</si>
  <si>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</si>
  <si>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</si>
  <si>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</si>
  <si>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</si>
  <si>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</si>
  <si>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</si>
  <si>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</si>
  <si>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</si>
  <si>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</si>
  <si>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</si>
  <si>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</si>
  <si>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</si>
  <si>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</si>
  <si>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</si>
  <si>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</si>
  <si>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</si>
  <si>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</si>
  <si>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</si>
  <si>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</si>
  <si>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</si>
  <si>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</si>
  <si>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</si>
  <si>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</si>
  <si>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</si>
  <si>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</si>
  <si>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</si>
  <si>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</si>
  <si>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</si>
  <si>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</si>
  <si>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</si>
  <si>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</si>
  <si>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</si>
  <si>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</si>
  <si>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</si>
  <si>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</si>
  <si>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</si>
  <si>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</si>
  <si>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</si>
  <si>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</si>
  <si>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</si>
  <si>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</si>
  <si>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</si>
  <si>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</si>
  <si>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</si>
  <si>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</si>
  <si>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</si>
  <si>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</si>
  <si>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</si>
  <si>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</si>
  <si>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</si>
  <si>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</si>
  <si>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</si>
  <si>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</si>
  <si>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</si>
  <si>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</si>
  <si>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</si>
  <si>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</si>
  <si>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</si>
  <si>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</si>
  <si>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</si>
  <si>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</si>
  <si>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</si>
  <si>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</si>
  <si>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</si>
  <si>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</si>
  <si>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</si>
  <si>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</si>
  <si>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</si>
  <si>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</si>
  <si>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</si>
  <si>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</si>
  <si>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</si>
  <si>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</si>
  <si>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</si>
  <si>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</si>
  <si>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</si>
  <si>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</si>
  <si>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</si>
  <si>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</si>
  <si>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</si>
  <si>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</si>
  <si>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</si>
  <si>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</si>
  <si>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</si>
  <si>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</si>
  <si>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</si>
  <si>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</si>
  <si>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</si>
  <si>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</si>
  <si>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</si>
  <si>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</si>
  <si>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</si>
  <si>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</si>
  <si>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</si>
  <si>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</si>
  <si>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</si>
  <si>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</si>
  <si>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</si>
  <si>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</si>
  <si>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</si>
  <si>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</si>
  <si>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</si>
  <si>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</si>
  <si>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</si>
  <si>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</si>
  <si>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</si>
  <si>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</si>
  <si>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</si>
  <si>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</si>
  <si>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</si>
  <si>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</si>
  <si>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</si>
  <si>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</si>
  <si>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</si>
  <si>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</si>
  <si>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</si>
  <si>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</si>
  <si>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</si>
  <si>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</si>
  <si>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</si>
  <si>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</si>
  <si>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</si>
  <si>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</si>
  <si>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</si>
  <si>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</si>
  <si>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</si>
  <si>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</si>
  <si>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</si>
  <si>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</si>
  <si>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</si>
  <si>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</si>
  <si>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</si>
  <si>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</si>
  <si>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</si>
  <si>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</si>
  <si>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</si>
  <si>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</si>
  <si>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</si>
  <si>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</si>
  <si>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</si>
  <si>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</si>
  <si>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</si>
  <si>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</si>
  <si>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</si>
  <si>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</si>
  <si>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</si>
  <si>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</si>
  <si>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</si>
  <si>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</si>
  <si>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</si>
  <si>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</si>
  <si>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</si>
  <si>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</si>
  <si>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</si>
  <si>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</si>
  <si>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</si>
  <si>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</si>
  <si>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</si>
  <si>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</si>
  <si>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</si>
  <si>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</si>
  <si>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</si>
  <si>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</si>
  <si>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</si>
  <si>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</si>
  <si>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</si>
  <si>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</si>
  <si>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</si>
  <si>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</si>
  <si>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</si>
  <si>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</si>
  <si>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</si>
  <si>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</si>
  <si>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</si>
  <si>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</si>
  <si>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</si>
  <si>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</si>
  <si>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</si>
  <si>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</si>
  <si>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</si>
  <si>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</si>
  <si>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</si>
  <si>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</si>
  <si>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</si>
  <si>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</si>
  <si>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</si>
  <si>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</si>
  <si>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</si>
  <si>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</si>
  <si>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</si>
  <si>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</si>
  <si>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</si>
  <si>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</si>
  <si>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</si>
  <si>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</si>
  <si>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</si>
  <si>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</si>
  <si>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</si>
  <si>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</si>
  <si>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</si>
  <si>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</si>
  <si>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</si>
  <si>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</si>
  <si>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</si>
  <si>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</si>
  <si>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</si>
  <si>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</si>
  <si>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</si>
  <si>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</si>
  <si>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</si>
  <si>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</si>
  <si>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</si>
  <si>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</si>
  <si>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</si>
  <si>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</si>
  <si>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</si>
  <si>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</si>
  <si>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</si>
  <si>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</si>
  <si>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</si>
  <si>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</si>
  <si>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</si>
  <si>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</si>
  <si>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</si>
  <si>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</si>
  <si>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</si>
  <si>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</si>
  <si>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</si>
  <si>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</si>
  <si>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</si>
  <si>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</si>
  <si>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</si>
  <si>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</si>
  <si>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</si>
  <si>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</si>
  <si>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</si>
  <si>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</si>
  <si>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</si>
  <si>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</si>
  <si>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</si>
  <si>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</si>
  <si>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</si>
  <si>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</si>
  <si>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</si>
  <si>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</si>
  <si>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</si>
  <si>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</si>
  <si>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</si>
  <si>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</si>
  <si>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</si>
  <si>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</si>
  <si>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</si>
  <si>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</si>
  <si>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</si>
  <si>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</si>
  <si>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</si>
  <si>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</si>
  <si>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</si>
  <si>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</si>
  <si>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</si>
  <si>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</si>
  <si>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</si>
  <si>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</si>
  <si>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</si>
  <si>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</si>
  <si>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</si>
  <si>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</si>
  <si>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</si>
  <si>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</si>
  <si>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</si>
  <si>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</si>
  <si>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</si>
  <si>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</si>
  <si>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</si>
  <si>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</si>
  <si>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</si>
  <si>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</si>
  <si>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</si>
  <si>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</si>
  <si>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</si>
  <si>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</si>
  <si>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</si>
  <si>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</si>
  <si>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</si>
  <si>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</si>
  <si>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</si>
  <si>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</si>
  <si>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</si>
  <si>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</si>
  <si>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</si>
  <si>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</si>
  <si>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</si>
  <si>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</si>
  <si>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</si>
  <si>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</si>
  <si>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</si>
  <si>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</si>
  <si>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</si>
  <si>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</si>
  <si>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</si>
  <si>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</si>
  <si>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</si>
  <si>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</si>
  <si>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</si>
  <si>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</si>
  <si>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</si>
  <si>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</si>
  <si>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</si>
  <si>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</si>
  <si>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</si>
  <si>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</si>
  <si>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</si>
  <si>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</si>
  <si>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</si>
  <si>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</si>
  <si>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</si>
  <si>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</si>
  <si>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</si>
  <si>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</si>
  <si>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</si>
  <si>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</si>
  <si>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</si>
  <si>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</si>
  <si>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</si>
  <si>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</si>
  <si>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</si>
  <si>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</si>
  <si>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</si>
  <si>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</si>
  <si>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</si>
  <si>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</si>
  <si>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</si>
  <si>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</si>
  <si>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</si>
  <si>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</si>
  <si>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</si>
  <si>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</si>
  <si>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</si>
  <si>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</si>
  <si>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</si>
  <si>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</si>
  <si>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</si>
  <si>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</si>
  <si>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</si>
  <si>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</si>
  <si>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</si>
  <si>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</si>
  <si>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</si>
  <si>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</si>
  <si>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</si>
  <si>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</si>
  <si>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</si>
  <si>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</si>
  <si>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</si>
  <si>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</si>
  <si>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</si>
  <si>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</si>
  <si>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</si>
  <si>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</si>
  <si>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</si>
  <si>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</si>
  <si>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</si>
  <si>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</si>
  <si>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</si>
  <si>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</si>
  <si>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</si>
  <si>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</si>
  <si>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</si>
  <si>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</si>
  <si>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</si>
  <si>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</si>
  <si>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</si>
  <si>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</si>
  <si>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</si>
  <si>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</si>
  <si>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</si>
  <si>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</si>
  <si>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</si>
  <si>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</si>
  <si>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</si>
  <si>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</si>
  <si>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</si>
  <si>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</si>
  <si>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</si>
  <si>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</si>
  <si>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</si>
  <si>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</si>
  <si>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</si>
  <si>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</si>
  <si>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</si>
  <si>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</si>
  <si>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</si>
  <si>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</si>
  <si>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</si>
  <si>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</si>
  <si>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</si>
  <si>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</si>
  <si>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</si>
  <si>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</si>
  <si>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</si>
  <si>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</si>
  <si>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</si>
  <si>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</si>
  <si>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</si>
  <si>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</si>
  <si>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</si>
  <si>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</si>
  <si>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</si>
  <si>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</si>
  <si>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</si>
  <si>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</si>
  <si>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</si>
  <si>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</si>
  <si>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</si>
  <si>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</si>
  <si>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</si>
  <si>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</si>
  <si>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</si>
  <si>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</si>
  <si>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</si>
  <si>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</si>
  <si>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</si>
  <si>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</si>
  <si>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</si>
  <si>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</si>
  <si>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</si>
  <si>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</si>
  <si>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</si>
  <si>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</si>
  <si>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</si>
  <si>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</si>
  <si>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</si>
  <si>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</si>
  <si>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</si>
  <si>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</si>
  <si>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</si>
  <si>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</si>
  <si>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</si>
  <si>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</si>
  <si>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</si>
  <si>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</si>
  <si>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</si>
  <si>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</si>
  <si>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</si>
  <si>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</si>
  <si>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</si>
  <si>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</si>
  <si>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</si>
  <si>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</si>
  <si>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</si>
  <si>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</si>
  <si>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</si>
  <si>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</si>
  <si>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</si>
  <si>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</si>
  <si>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</si>
  <si>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</si>
  <si>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</si>
  <si>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</si>
  <si>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</si>
  <si>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</si>
  <si>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</si>
  <si>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</si>
  <si>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</si>
  <si>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</si>
  <si>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</si>
  <si>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</si>
  <si>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</si>
  <si>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</si>
  <si>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</si>
  <si>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</si>
  <si>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</si>
  <si>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</si>
  <si>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</si>
  <si>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</si>
  <si>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</si>
  <si>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</si>
  <si>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</si>
  <si>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</si>
  <si>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</si>
  <si>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</si>
  <si>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</si>
  <si>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</si>
  <si>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</si>
  <si>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</si>
  <si>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</si>
  <si>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</si>
  <si>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</si>
  <si>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</si>
  <si>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</si>
  <si>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</si>
  <si>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</si>
  <si>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</si>
  <si>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</si>
  <si>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</si>
  <si>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</si>
  <si>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</si>
  <si>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</si>
  <si>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</si>
  <si>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</si>
  <si>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</si>
  <si>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</si>
  <si>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</si>
  <si>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</si>
  <si>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</si>
  <si>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</si>
  <si>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</si>
  <si>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</si>
  <si>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</si>
  <si>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</si>
  <si>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</si>
  <si>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</si>
  <si>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</si>
  <si>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</si>
  <si>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</si>
  <si>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</si>
  <si>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</si>
  <si>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</si>
  <si>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</si>
  <si>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</si>
  <si>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</si>
  <si>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</si>
  <si>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</si>
  <si>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</si>
  <si>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</si>
  <si>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</si>
  <si>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</si>
  <si>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</si>
  <si>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</si>
  <si>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</si>
  <si>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</si>
  <si>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</si>
  <si>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</si>
  <si>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</si>
  <si>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</si>
  <si>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</si>
  <si>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</si>
  <si>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</si>
  <si>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</si>
  <si>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</si>
  <si>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</si>
  <si>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</si>
  <si>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</si>
  <si>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</si>
  <si>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</si>
  <si>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</si>
  <si>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</si>
  <si>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</si>
  <si>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</si>
  <si>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</si>
  <si>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</si>
  <si>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</si>
  <si>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</si>
  <si>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</si>
  <si>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</si>
  <si>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</si>
  <si>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</si>
  <si>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</si>
  <si>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</si>
  <si>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</si>
  <si>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</si>
  <si>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</si>
  <si>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</si>
  <si>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</si>
  <si>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</si>
  <si>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</si>
  <si>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</si>
  <si>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</si>
  <si>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</si>
  <si>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</si>
  <si>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</si>
  <si>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</si>
  <si>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</si>
  <si>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</si>
  <si>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</si>
  <si>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</si>
  <si>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</si>
  <si>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</si>
  <si>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</si>
  <si>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</si>
  <si>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</si>
  <si>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</si>
  <si>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</si>
  <si>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</si>
  <si>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</si>
  <si>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</si>
  <si>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</si>
  <si>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</si>
  <si>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</si>
  <si>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</si>
  <si>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</si>
  <si>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</si>
  <si>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</si>
  <si>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</si>
  <si>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</si>
  <si>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</si>
  <si>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</si>
  <si>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</si>
  <si>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</si>
  <si>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</si>
  <si>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</si>
  <si>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</si>
  <si>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</si>
  <si>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</si>
  <si>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</si>
  <si>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</si>
  <si>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</si>
  <si>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</si>
  <si>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</si>
  <si>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</si>
  <si>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</si>
  <si>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</si>
  <si>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</si>
  <si>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</si>
  <si>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</si>
  <si>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</si>
  <si>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</si>
  <si>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</si>
  <si>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</si>
  <si>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</si>
  <si>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</si>
  <si>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</si>
  <si>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</si>
  <si>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</si>
  <si>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</si>
  <si>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</si>
  <si>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</si>
  <si>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</si>
  <si>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</si>
  <si>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</si>
  <si>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</si>
  <si>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</si>
  <si>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</si>
  <si>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</si>
  <si>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</si>
  <si>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</si>
  <si>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</si>
  <si>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</si>
  <si>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</si>
  <si>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</si>
  <si>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</si>
  <si>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</si>
  <si>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</si>
  <si>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</si>
  <si>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</si>
  <si>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</si>
  <si>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</si>
  <si>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</si>
  <si>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</si>
  <si>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</si>
  <si>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</si>
  <si>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</si>
  <si>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</si>
  <si>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</si>
  <si>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</si>
  <si>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</si>
  <si>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</si>
  <si>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</si>
  <si>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</si>
  <si>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</si>
  <si>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</si>
  <si>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</si>
  <si>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</si>
  <si>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</si>
  <si>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</si>
  <si>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</si>
  <si>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</si>
  <si>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</si>
  <si>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</si>
  <si>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</si>
  <si>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</si>
  <si>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</si>
  <si>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</si>
  <si>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</si>
  <si>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</si>
  <si>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</si>
  <si>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</si>
  <si>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</si>
  <si>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</si>
  <si>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</si>
  <si>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</si>
  <si>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</si>
  <si>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</si>
  <si>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</si>
  <si>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</si>
  <si>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</si>
  <si>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</si>
  <si>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</si>
  <si>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</si>
  <si>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</si>
  <si>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</si>
  <si>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</si>
  <si>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</si>
  <si>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</si>
  <si>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</si>
  <si>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</si>
  <si>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</si>
  <si>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</si>
  <si>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</si>
  <si>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</si>
  <si>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</si>
  <si>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</si>
  <si>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</si>
  <si>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</si>
  <si>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</si>
  <si>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</si>
  <si>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</si>
  <si>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</si>
  <si>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</si>
  <si>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</si>
  <si>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</si>
  <si>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</si>
  <si>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</si>
  <si>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</si>
  <si>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</si>
  <si>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</si>
  <si>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</si>
  <si>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</si>
  <si>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</si>
  <si>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</si>
  <si>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</si>
  <si>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</si>
  <si>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</si>
  <si>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</si>
  <si>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</si>
  <si>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</si>
  <si>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</si>
  <si>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</si>
  <si>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</si>
  <si>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</si>
  <si>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</si>
  <si>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</si>
  <si>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</si>
  <si>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</si>
  <si>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</si>
  <si>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</si>
  <si>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</si>
  <si>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</si>
  <si>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</si>
  <si>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</si>
  <si>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</si>
  <si>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</si>
  <si>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</si>
  <si>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</si>
  <si>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</si>
  <si>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</si>
  <si>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</si>
  <si>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</si>
  <si>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</si>
  <si>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</si>
  <si>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</si>
  <si>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</si>
  <si>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</si>
  <si>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</si>
  <si>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</si>
  <si>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</si>
  <si>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</si>
  <si>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</si>
  <si>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</si>
  <si>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</si>
  <si>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</si>
  <si>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</si>
  <si>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</si>
  <si>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</si>
  <si>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</si>
  <si>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</si>
  <si>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</si>
  <si>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</si>
  <si>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</si>
  <si>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</si>
  <si>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</si>
  <si>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</si>
  <si>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</si>
  <si>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</si>
  <si>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</si>
  <si>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</si>
  <si>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</si>
  <si>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</si>
  <si>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</si>
  <si>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</si>
  <si>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</si>
  <si>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</si>
  <si>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</si>
  <si>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</si>
  <si>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</si>
  <si>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</si>
  <si>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</si>
  <si>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</si>
  <si>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</si>
  <si>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</si>
  <si>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</si>
  <si>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</si>
  <si>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</si>
  <si>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</si>
  <si>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</si>
  <si>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</si>
  <si>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</si>
  <si>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</si>
  <si>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</si>
  <si>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</si>
  <si>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</si>
  <si>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</si>
  <si>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</si>
  <si>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</si>
  <si>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</si>
  <si>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</si>
  <si>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</si>
  <si>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</si>
  <si>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</si>
  <si>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</si>
  <si>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</si>
  <si>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</si>
  <si>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</si>
  <si>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</si>
  <si>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</si>
  <si>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</si>
  <si>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</si>
  <si>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</si>
  <si>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</si>
  <si>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</si>
  <si>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</si>
  <si>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</si>
  <si>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</si>
  <si>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</si>
  <si>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</si>
  <si>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</si>
  <si>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</si>
  <si>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</si>
  <si>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</si>
  <si>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</si>
  <si>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</si>
  <si>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</si>
  <si>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</si>
  <si>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</si>
  <si>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</si>
  <si>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</si>
  <si>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</si>
  <si>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</si>
  <si>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</si>
  <si>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</si>
  <si>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</si>
  <si>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</si>
  <si>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</si>
  <si>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</si>
  <si>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</si>
  <si>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</si>
  <si>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</si>
  <si>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</si>
  <si>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</si>
  <si>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</si>
  <si>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</si>
  <si>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</si>
  <si>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</si>
  <si>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</si>
  <si>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</si>
  <si>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</si>
  <si>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</si>
  <si>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</si>
  <si>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</si>
  <si>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</si>
  <si>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</si>
  <si>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</si>
  <si>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</si>
  <si>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</si>
  <si>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</si>
  <si>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</si>
  <si>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</si>
  <si>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</si>
  <si>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</si>
  <si>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</si>
  <si>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</si>
  <si>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</si>
  <si>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</si>
  <si>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</si>
  <si>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</si>
  <si>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</si>
  <si>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</si>
  <si>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</si>
  <si>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</si>
  <si>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</si>
  <si>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</si>
  <si>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</si>
  <si>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</si>
  <si>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</si>
  <si>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</si>
  <si>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</si>
  <si>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</si>
  <si>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</si>
  <si>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</si>
  <si>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</si>
  <si>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</si>
  <si>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</si>
  <si>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</si>
  <si>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</si>
  <si>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</si>
  <si>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</si>
  <si>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</si>
  <si>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</si>
  <si>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</si>
  <si>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</si>
  <si>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</si>
  <si>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</si>
  <si>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</si>
  <si>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</si>
  <si>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</si>
  <si>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</si>
  <si>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</si>
  <si>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</si>
  <si>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</si>
  <si>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</si>
  <si>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</si>
  <si>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</si>
  <si>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</si>
  <si>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</si>
  <si>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</si>
  <si>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</si>
  <si>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</si>
  <si>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</si>
  <si>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</si>
  <si>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</si>
  <si>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</si>
  <si>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</si>
  <si>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</si>
  <si>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</si>
  <si>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</si>
  <si>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</si>
  <si>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</si>
  <si>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</si>
  <si>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</si>
  <si>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</si>
  <si>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</si>
  <si>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</si>
  <si>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</si>
  <si>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</si>
  <si>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</si>
  <si>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</si>
  <si>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</si>
  <si>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</si>
  <si>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</si>
  <si>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</si>
  <si>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</si>
  <si>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</si>
  <si>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</si>
  <si>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</si>
  <si>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</si>
  <si>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</si>
  <si>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</si>
  <si>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</si>
  <si>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</si>
  <si>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</si>
  <si>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</si>
  <si>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</si>
  <si>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</si>
  <si>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</si>
  <si>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</si>
  <si>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</si>
  <si>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</si>
  <si>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</si>
  <si>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</si>
  <si>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</si>
  <si>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</si>
  <si>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</si>
  <si>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</si>
  <si>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</si>
  <si>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</si>
  <si>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</si>
  <si>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</si>
  <si>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</si>
  <si>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</si>
  <si>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</si>
  <si>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</si>
  <si>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</si>
  <si>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</si>
  <si>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</si>
  <si>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</si>
  <si>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</si>
  <si>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</si>
  <si>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</si>
  <si>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</si>
  <si>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</si>
  <si>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</si>
  <si>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</si>
  <si>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</si>
  <si>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</si>
  <si>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</si>
  <si>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</si>
  <si>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</si>
  <si>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</si>
  <si>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</si>
  <si>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</si>
  <si>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</si>
  <si>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</si>
  <si>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</si>
  <si>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</si>
  <si>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</si>
  <si>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</si>
  <si>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</si>
  <si>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</si>
  <si>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</si>
  <si>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</si>
  <si>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</si>
  <si>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</si>
  <si>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</si>
  <si>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</si>
  <si>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</si>
  <si>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</si>
  <si>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</si>
  <si>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</si>
  <si>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</si>
  <si>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</si>
  <si>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</si>
  <si>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</si>
  <si>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</si>
  <si>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</si>
  <si>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</si>
  <si>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</si>
  <si>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</si>
  <si>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</si>
  <si>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</si>
  <si>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</si>
  <si>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</si>
  <si>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</si>
  <si>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</si>
  <si>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</si>
  <si>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</si>
  <si>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</si>
  <si>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</si>
  <si>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</si>
  <si>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</si>
  <si>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</si>
  <si>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</si>
  <si>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</si>
  <si>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</si>
  <si>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</si>
  <si>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</si>
  <si>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</si>
  <si>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</si>
  <si>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</si>
  <si>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</si>
  <si>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</si>
  <si>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</si>
  <si>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</si>
  <si>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</si>
  <si>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</si>
  <si>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</si>
  <si>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</si>
  <si>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</si>
  <si>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</si>
  <si>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</si>
  <si>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</si>
  <si>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</si>
  <si>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</si>
  <si>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</si>
  <si>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</si>
  <si>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</si>
  <si>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</si>
  <si>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</si>
  <si>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</si>
  <si>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</si>
  <si>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</si>
  <si>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</si>
  <si>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</si>
  <si>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</si>
  <si>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</si>
  <si>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</si>
  <si>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</si>
  <si>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</si>
  <si>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</si>
  <si>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</si>
  <si>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</si>
  <si>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</si>
  <si>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</si>
  <si>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</si>
  <si>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</si>
  <si>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</si>
  <si>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</si>
  <si>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</si>
  <si>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</si>
  <si>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</si>
  <si>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</si>
  <si>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</si>
  <si>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</si>
  <si>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</si>
  <si>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</si>
  <si>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</si>
  <si>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</si>
  <si>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</si>
  <si>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</si>
  <si>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</si>
  <si>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</si>
  <si>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</si>
  <si>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</si>
  <si>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</si>
  <si>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</si>
  <si>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</si>
  <si>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</si>
  <si>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</si>
  <si>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</si>
  <si>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</si>
  <si>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</si>
  <si>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</si>
  <si>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</si>
  <si>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</si>
  <si>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</si>
  <si>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</si>
  <si>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</si>
  <si>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</si>
  <si>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</si>
  <si>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</si>
  <si>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</si>
  <si>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</si>
  <si>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</si>
  <si>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</si>
  <si>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</si>
  <si>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</si>
  <si>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</si>
  <si>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</si>
  <si>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</si>
  <si>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</si>
  <si>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</si>
  <si>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</si>
  <si>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</si>
  <si>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</si>
  <si>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</si>
  <si>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</si>
  <si>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</si>
  <si>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</si>
  <si>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</si>
  <si>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</si>
  <si>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</si>
  <si>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</si>
  <si>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</si>
  <si>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</si>
  <si>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</si>
  <si>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</si>
  <si>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</si>
  <si>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</si>
  <si>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</si>
  <si>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</si>
  <si>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</si>
  <si>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</si>
  <si>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</si>
  <si>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</si>
  <si>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</si>
  <si>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</si>
  <si>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</si>
  <si>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</si>
  <si>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</si>
  <si>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</si>
  <si>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</si>
  <si>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</si>
  <si>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</si>
  <si>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</si>
  <si>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</si>
  <si>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</si>
  <si>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</si>
  <si>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</si>
  <si>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</si>
  <si>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</si>
  <si>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</si>
  <si>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</si>
  <si>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</si>
  <si>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</si>
  <si>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</si>
  <si>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</si>
  <si>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</si>
  <si>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</si>
  <si>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</si>
  <si>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</si>
  <si>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</si>
  <si>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</si>
  <si>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</si>
  <si>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</si>
  <si>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</si>
  <si>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</si>
  <si>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</si>
  <si>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</si>
  <si>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</si>
  <si>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</si>
  <si>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</si>
  <si>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</si>
  <si>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</si>
  <si>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</si>
  <si>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</si>
  <si>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</si>
  <si>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</si>
  <si>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</si>
  <si>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</si>
  <si>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</si>
  <si>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</si>
  <si>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</si>
  <si>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</si>
  <si>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</si>
  <si>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</si>
  <si>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</si>
  <si>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</si>
  <si>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</si>
  <si>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</si>
  <si>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</si>
  <si>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</si>
  <si>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</si>
  <si>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</si>
  <si>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</si>
  <si>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</si>
  <si>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</si>
  <si>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</si>
  <si>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</si>
  <si>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</si>
  <si>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</si>
  <si>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</si>
  <si>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</si>
  <si>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</si>
  <si>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</si>
  <si>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</si>
  <si>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</si>
  <si>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</si>
  <si>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</si>
  <si>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</si>
  <si>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</si>
  <si>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</si>
  <si>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</si>
  <si>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</si>
  <si>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</si>
  <si>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</si>
  <si>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</si>
  <si>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</si>
  <si>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</si>
  <si>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</si>
  <si>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</si>
  <si>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</si>
  <si>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</si>
  <si>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</si>
  <si>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</si>
  <si>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</si>
  <si>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</si>
  <si>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</si>
  <si>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</si>
  <si>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</si>
  <si>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</si>
  <si>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</si>
  <si>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</si>
  <si>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</si>
  <si>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</si>
  <si>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</si>
  <si>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</si>
  <si>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</si>
  <si>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</si>
  <si>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</si>
  <si>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</si>
  <si>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</si>
  <si>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</si>
  <si>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</si>
  <si>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</si>
  <si>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</si>
  <si>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</si>
  <si>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</si>
  <si>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</si>
  <si>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</si>
  <si>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</si>
  <si>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</si>
  <si>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</si>
  <si>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</si>
  <si>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</si>
  <si>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</si>
  <si>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</si>
  <si>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</si>
  <si>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</si>
  <si>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</si>
  <si>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</si>
  <si>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</si>
  <si>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</si>
  <si>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</si>
  <si>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</si>
  <si>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</si>
  <si>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</si>
  <si>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</si>
  <si>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</si>
  <si>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</si>
  <si>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</si>
  <si>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</si>
  <si>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</si>
  <si>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</si>
  <si>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</si>
  <si>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</si>
  <si>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</si>
  <si>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</si>
  <si>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</si>
  <si>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</si>
  <si>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</si>
  <si>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</si>
  <si>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</si>
  <si>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</si>
  <si>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</si>
  <si>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</si>
  <si>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</si>
  <si>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</si>
  <si>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</si>
  <si>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</si>
  <si>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</si>
  <si>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</si>
  <si>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</si>
  <si>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</si>
  <si>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</si>
  <si>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</si>
  <si>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</si>
  <si>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</si>
  <si>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</si>
  <si>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</si>
  <si>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</si>
  <si>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</si>
  <si>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</si>
  <si>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</si>
  <si>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</si>
  <si>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</si>
  <si>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</si>
  <si>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</si>
  <si>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</si>
  <si>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</si>
  <si>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</si>
  <si>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</si>
  <si>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</si>
  <si>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</si>
  <si>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</si>
  <si>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</si>
  <si>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</si>
  <si>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</si>
  <si>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</si>
  <si>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</si>
  <si>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</si>
  <si>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</si>
  <si>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</si>
  <si>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</si>
  <si>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</si>
  <si>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</si>
  <si>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</si>
  <si>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</si>
  <si>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</si>
  <si>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</si>
  <si>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</si>
  <si>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</si>
  <si>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</si>
  <si>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</si>
  <si>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</si>
  <si>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</si>
  <si>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</si>
  <si>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</si>
  <si>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</si>
  <si>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</si>
  <si>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</si>
  <si>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</si>
  <si>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</si>
  <si>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</si>
  <si>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</si>
  <si>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</si>
  <si>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</si>
  <si>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</si>
  <si>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</si>
  <si>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</si>
  <si>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</si>
  <si>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</si>
  <si>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</si>
  <si>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</si>
  <si>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</si>
  <si>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</si>
  <si>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</si>
  <si>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</si>
  <si>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</si>
  <si>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</si>
  <si>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</si>
  <si>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</si>
  <si>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</si>
  <si>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</si>
  <si>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</si>
  <si>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</si>
  <si>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</si>
  <si>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</si>
  <si>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</si>
  <si>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</si>
  <si>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</si>
  <si>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</si>
  <si>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</si>
  <si>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</si>
  <si>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</si>
  <si>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</si>
  <si>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</si>
  <si>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</si>
  <si>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</si>
  <si>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</si>
  <si>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</si>
  <si>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</si>
  <si>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</si>
  <si>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</si>
  <si>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</si>
  <si>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</si>
  <si>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</si>
  <si>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</si>
  <si>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</si>
  <si>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</si>
  <si>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</si>
  <si>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</si>
  <si>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</si>
  <si>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</si>
  <si>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</si>
  <si>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</si>
  <si>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</si>
  <si>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</si>
  <si>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</si>
  <si>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</si>
  <si>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</si>
  <si>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</si>
  <si>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</si>
  <si>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</si>
  <si>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</si>
  <si>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</si>
  <si>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</si>
  <si>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</si>
  <si>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</si>
  <si>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</si>
  <si>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</si>
  <si>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</si>
  <si>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</si>
  <si>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</si>
  <si>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</si>
  <si>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</si>
  <si>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</si>
  <si>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</si>
  <si>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</si>
  <si>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</si>
  <si>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</si>
  <si>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</si>
  <si>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</si>
  <si>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</si>
  <si>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</si>
  <si>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</si>
  <si>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</si>
  <si>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</si>
  <si>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</si>
  <si>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</si>
  <si>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</si>
  <si>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</si>
  <si>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</si>
  <si>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</si>
  <si>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</si>
  <si>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</si>
  <si>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</si>
  <si>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</si>
  <si>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</si>
  <si>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</si>
  <si>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</si>
  <si>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</si>
  <si>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</si>
  <si>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</si>
  <si>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</si>
  <si>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</si>
  <si>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</si>
  <si>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</si>
  <si>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</si>
  <si>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</si>
  <si>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</si>
  <si>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</si>
  <si>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</si>
  <si>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</si>
  <si>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</si>
  <si>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</si>
  <si>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</si>
  <si>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</si>
  <si>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</si>
  <si>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</si>
  <si>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</si>
  <si>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</si>
  <si>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</si>
  <si>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</si>
  <si>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</si>
  <si>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</si>
  <si>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</si>
  <si>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</si>
  <si>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</si>
  <si>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</si>
  <si>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</si>
  <si>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</si>
  <si>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</si>
  <si>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</si>
  <si>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</si>
  <si>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</si>
  <si>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</si>
  <si>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</si>
  <si>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</si>
  <si>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</si>
  <si>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</si>
  <si>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</si>
  <si>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</si>
  <si>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</si>
  <si>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</si>
  <si>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</si>
  <si>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</si>
  <si>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</si>
  <si>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</si>
  <si>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</si>
  <si>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</si>
  <si>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</si>
  <si>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</si>
  <si>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</si>
  <si>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</si>
  <si>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</si>
  <si>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</si>
  <si>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</si>
  <si>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</si>
  <si>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</si>
  <si>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</si>
  <si>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</si>
  <si>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</si>
  <si>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</si>
  <si>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</si>
  <si>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</si>
  <si>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</si>
  <si>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</si>
  <si>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</si>
  <si>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</si>
  <si>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</si>
  <si>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</si>
  <si>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</si>
  <si>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</si>
  <si>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</si>
  <si>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</si>
  <si>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</si>
  <si>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</si>
  <si>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</si>
  <si>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</si>
  <si>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</si>
  <si>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</si>
  <si>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</si>
  <si>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</si>
  <si>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</si>
  <si>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</si>
  <si>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</si>
  <si>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</si>
  <si>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</si>
  <si>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</si>
  <si>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</si>
  <si>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</si>
  <si>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</si>
  <si>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</si>
  <si>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</si>
  <si>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</si>
  <si>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</si>
  <si>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</si>
  <si>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</si>
  <si>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</si>
  <si>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</si>
  <si>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</si>
  <si>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</si>
  <si>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</si>
  <si>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</si>
  <si>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</si>
  <si>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</si>
  <si>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</si>
  <si>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</si>
  <si>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</si>
  <si>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</si>
  <si>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</si>
  <si>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</si>
  <si>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</si>
  <si>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</si>
  <si>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</si>
  <si>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</si>
  <si>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</si>
  <si>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</si>
  <si>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</si>
  <si>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</si>
  <si>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</si>
  <si>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</si>
  <si>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</si>
  <si>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</si>
  <si>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</si>
  <si>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</si>
  <si>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</si>
  <si>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</si>
  <si>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</si>
  <si>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</si>
  <si>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</si>
  <si>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</si>
  <si>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</si>
  <si>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</si>
  <si>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</si>
  <si>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</si>
  <si>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</si>
  <si>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</si>
  <si>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</si>
  <si>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</si>
  <si>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</si>
  <si>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</si>
  <si>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</si>
  <si>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</si>
  <si>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</si>
  <si>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</si>
  <si>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</si>
  <si>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</si>
  <si>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</si>
  <si>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</si>
  <si>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</si>
  <si>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</si>
  <si>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</si>
  <si>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</si>
  <si>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</si>
  <si>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</si>
  <si>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</si>
  <si>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</si>
  <si>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</si>
  <si>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</si>
  <si>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</si>
  <si>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</si>
  <si>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</si>
  <si>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</si>
  <si>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</si>
  <si>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</si>
  <si>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</si>
  <si>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</si>
  <si>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</si>
  <si>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</si>
  <si>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</si>
  <si>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</si>
  <si>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</si>
  <si>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</si>
  <si>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</si>
  <si>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</si>
  <si>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</si>
  <si>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</si>
  <si>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</si>
  <si>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</si>
  <si>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</si>
  <si>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</si>
  <si>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</si>
  <si>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</si>
  <si>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</si>
  <si>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</si>
  <si>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</si>
  <si>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</si>
  <si>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</si>
  <si>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</si>
  <si>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</si>
  <si>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</si>
  <si>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</si>
  <si>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</si>
  <si>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</si>
  <si>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</si>
  <si>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</si>
  <si>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</si>
  <si>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</si>
  <si>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</si>
  <si>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</si>
  <si>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</si>
  <si>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</si>
  <si>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</si>
  <si>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</si>
  <si>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</si>
  <si>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</si>
  <si>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</si>
  <si>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</si>
  <si>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</si>
  <si>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</si>
  <si>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</si>
  <si>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</si>
  <si>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</si>
  <si>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</si>
  <si>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</si>
  <si>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</si>
  <si>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</si>
  <si>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</si>
  <si>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</si>
  <si>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</si>
  <si>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</si>
  <si>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</si>
  <si>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</si>
  <si>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</si>
  <si>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</si>
  <si>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</si>
  <si>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</si>
  <si>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</si>
  <si>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</si>
  <si>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</si>
  <si>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</si>
  <si>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</si>
  <si>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</si>
  <si>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</si>
  <si>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</si>
  <si>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</si>
  <si>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</si>
  <si>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</si>
  <si>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</si>
  <si>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</si>
  <si>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</si>
  <si>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</si>
  <si>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</si>
  <si>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</si>
  <si>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</si>
  <si>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</si>
  <si>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</si>
  <si>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</si>
  <si>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</si>
  <si>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</si>
  <si>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</si>
  <si>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</si>
  <si>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</si>
  <si>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</si>
  <si>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</si>
  <si>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</si>
  <si>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</si>
  <si>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</si>
  <si>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</si>
  <si>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</si>
  <si>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</si>
  <si>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</si>
  <si>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</si>
  <si>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</si>
  <si>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</si>
  <si>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</si>
  <si>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</si>
  <si>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</si>
  <si>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</si>
  <si>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</si>
  <si>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</si>
  <si>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</si>
  <si>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</si>
  <si>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</si>
  <si>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</si>
  <si>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</si>
  <si>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</si>
  <si>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</si>
  <si>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</si>
  <si>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</si>
  <si>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</si>
  <si>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</si>
  <si>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</si>
  <si>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</si>
  <si>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</si>
  <si>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</si>
  <si>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</si>
  <si>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</si>
  <si>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</si>
  <si>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</si>
  <si>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</si>
  <si>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</si>
  <si>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</si>
  <si>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</si>
  <si>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</si>
  <si>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</si>
  <si>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</si>
  <si>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</si>
  <si>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</si>
  <si>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</si>
  <si>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</si>
  <si>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</si>
  <si>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</si>
  <si>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</si>
  <si>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</si>
  <si>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</si>
  <si>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</si>
  <si>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</si>
  <si>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</si>
  <si>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</si>
  <si>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</si>
  <si>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</si>
  <si>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</si>
  <si>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</si>
  <si>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</si>
  <si>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</si>
  <si>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</si>
  <si>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</si>
  <si>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</si>
  <si>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</si>
  <si>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</si>
  <si>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</si>
  <si>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</si>
  <si>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</si>
  <si>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</si>
  <si>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</si>
  <si>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</si>
  <si>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</si>
  <si>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</si>
  <si>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</si>
  <si>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</si>
  <si>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</si>
  <si>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</si>
  <si>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</si>
  <si>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</si>
  <si>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</si>
  <si>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</si>
  <si>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</si>
  <si>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</si>
  <si>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</si>
  <si>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</si>
  <si>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</si>
  <si>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</si>
  <si>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</si>
  <si>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</si>
  <si>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</si>
  <si>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</si>
  <si>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</si>
  <si>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</si>
  <si>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</si>
  <si>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</si>
  <si>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</si>
  <si>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</si>
  <si>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</si>
  <si>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</si>
  <si>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</si>
  <si>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</si>
  <si>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</si>
  <si>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</si>
  <si>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</si>
  <si>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</si>
  <si>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</si>
  <si>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</si>
  <si>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</si>
  <si>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</si>
  <si>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</si>
  <si>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</si>
  <si>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</si>
  <si>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</si>
  <si>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</si>
  <si>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</si>
  <si>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</si>
  <si>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</si>
  <si>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</si>
  <si>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</si>
  <si>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</si>
  <si>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</si>
  <si>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</si>
  <si>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</si>
  <si>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</si>
  <si>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</si>
  <si>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</si>
  <si>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</si>
  <si>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</si>
  <si>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</si>
  <si>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</si>
  <si>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</si>
  <si>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</si>
  <si>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</si>
  <si>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</si>
  <si>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</si>
  <si>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</si>
  <si>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</si>
  <si>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</si>
  <si>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</si>
  <si>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</si>
  <si>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</si>
  <si>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</si>
  <si>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</si>
  <si>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</si>
  <si>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</si>
  <si>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</si>
  <si>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</si>
  <si>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</si>
  <si>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</si>
  <si>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</si>
  <si>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</si>
  <si>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</si>
  <si>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</si>
  <si>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</si>
  <si>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</si>
  <si>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</si>
  <si>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</si>
  <si>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</si>
  <si>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</si>
  <si>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</si>
  <si>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</si>
  <si>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</si>
  <si>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</si>
  <si>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</si>
  <si>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</si>
  <si>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</si>
  <si>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</si>
  <si>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</si>
  <si>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</si>
  <si>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</si>
  <si>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</si>
  <si>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</si>
  <si>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</si>
  <si>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</si>
  <si>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</si>
  <si>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</si>
  <si>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</si>
  <si>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</si>
  <si>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</si>
  <si>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</si>
  <si>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</si>
  <si>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</si>
  <si>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</si>
  <si>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</si>
  <si>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</si>
  <si>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</si>
  <si>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</si>
  <si>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</si>
  <si>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</si>
  <si>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</si>
  <si>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</si>
  <si>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</si>
  <si>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</si>
  <si>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</si>
  <si>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</si>
  <si>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</si>
  <si>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</si>
  <si>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</si>
  <si>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</si>
  <si>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</si>
  <si>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</si>
  <si>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</si>
  <si>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</si>
  <si>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</si>
  <si>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</si>
  <si>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</si>
  <si>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</si>
  <si>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</si>
  <si>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</si>
  <si>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</si>
  <si>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</si>
  <si>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</si>
  <si>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</si>
  <si>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</si>
  <si>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</si>
  <si>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</si>
  <si>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</si>
  <si>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</si>
  <si>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</si>
  <si>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</si>
  <si>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</si>
  <si>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</si>
  <si>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</si>
  <si>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</si>
  <si>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</si>
  <si>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</si>
  <si>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</si>
  <si>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</si>
  <si>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</si>
  <si>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</si>
  <si>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</si>
  <si>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</si>
  <si>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</si>
  <si>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</si>
  <si>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</si>
  <si>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</si>
  <si>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</si>
  <si>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</si>
  <si>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</si>
  <si>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</si>
  <si>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</si>
  <si>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</si>
  <si>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</si>
  <si>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</si>
  <si>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</si>
  <si>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</si>
  <si>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</si>
  <si>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</si>
  <si>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</si>
  <si>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</si>
  <si>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</si>
  <si>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</si>
  <si>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</si>
  <si>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</si>
  <si>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</si>
  <si>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</si>
  <si>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</si>
  <si>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</si>
  <si>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</si>
  <si>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</si>
  <si>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</si>
  <si>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</si>
  <si>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</si>
  <si>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</si>
  <si>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</si>
  <si>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</si>
  <si>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</si>
  <si>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</si>
  <si>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</si>
  <si>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</si>
  <si>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</si>
  <si>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</si>
  <si>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</si>
  <si>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</si>
  <si>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</si>
  <si>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</si>
  <si>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</si>
  <si>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</si>
  <si>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</si>
  <si>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</si>
  <si>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</si>
  <si>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</si>
  <si>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</si>
  <si>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</si>
  <si>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</si>
  <si>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</si>
  <si>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</si>
  <si>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</si>
  <si>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</si>
  <si>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</si>
  <si>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</si>
  <si>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</si>
  <si>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</si>
  <si>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</si>
  <si>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</si>
  <si>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</si>
  <si>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</si>
  <si>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</si>
  <si>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</si>
  <si>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</si>
  <si>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</si>
  <si>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</si>
  <si>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</si>
  <si>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</si>
  <si>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</si>
  <si>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</si>
  <si>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</si>
  <si>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</si>
  <si>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</si>
  <si>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</si>
  <si>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</si>
  <si>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</si>
  <si>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</si>
  <si>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</si>
  <si>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</si>
  <si>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</si>
  <si>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</si>
  <si>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</si>
  <si>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</si>
  <si>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</si>
  <si>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</si>
  <si>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</si>
  <si>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</si>
  <si>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</si>
  <si>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</si>
  <si>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</si>
  <si>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</si>
  <si>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</si>
  <si>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</si>
  <si>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</si>
  <si>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</si>
  <si>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</si>
  <si>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</si>
  <si>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</si>
  <si>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</si>
  <si>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</si>
  <si>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</si>
  <si>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</si>
  <si>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</si>
  <si>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</si>
  <si>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</si>
  <si>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</si>
  <si>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</si>
  <si>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</si>
  <si>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</si>
  <si>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</si>
  <si>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</si>
  <si>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</si>
  <si>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</si>
  <si>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</si>
  <si>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</si>
  <si>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</si>
  <si>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</si>
  <si>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</si>
  <si>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</si>
  <si>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</si>
  <si>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</si>
  <si>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</si>
  <si>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</si>
  <si>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</si>
  <si>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</si>
  <si>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</si>
  <si>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</si>
  <si>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</si>
  <si>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</si>
  <si>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</si>
  <si>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</si>
  <si>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</si>
  <si>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</si>
  <si>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</si>
  <si>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</si>
  <si>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</si>
  <si>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</si>
  <si>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</si>
  <si>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</si>
  <si>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</si>
  <si>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</si>
  <si>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</si>
  <si>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</si>
  <si>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</si>
  <si>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</si>
  <si>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</si>
  <si>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</si>
  <si>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</si>
  <si>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</si>
  <si>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</si>
  <si>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</si>
  <si>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</si>
  <si>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</si>
  <si>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</si>
  <si>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</si>
  <si>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</si>
  <si>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</si>
  <si>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</si>
  <si>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</si>
  <si>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</si>
  <si>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</si>
  <si>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</si>
  <si>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</si>
  <si>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</si>
  <si>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</si>
  <si>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</si>
  <si>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</si>
  <si>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</si>
  <si>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</si>
  <si>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</si>
  <si>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</si>
  <si>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</si>
  <si>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</si>
  <si>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</si>
  <si>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</si>
  <si>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</si>
  <si>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</si>
  <si>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</si>
  <si>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</si>
  <si>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</si>
  <si>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</si>
  <si>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</si>
  <si>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</si>
  <si>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</si>
  <si>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</si>
  <si>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</si>
  <si>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</si>
  <si>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</si>
  <si>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</si>
  <si>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</si>
  <si>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</si>
  <si>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</si>
  <si>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</si>
  <si>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</si>
  <si>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</si>
  <si>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</si>
  <si>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</si>
  <si>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</si>
  <si>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</si>
  <si>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</si>
  <si>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</si>
  <si>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</si>
  <si>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</si>
  <si>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</si>
  <si>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</si>
  <si>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</si>
  <si>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</si>
  <si>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</si>
  <si>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</si>
  <si>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</si>
  <si>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</si>
  <si>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</si>
  <si>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</si>
  <si>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</si>
  <si>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</si>
  <si>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</si>
  <si>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</si>
  <si>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</si>
  <si>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</si>
  <si>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</si>
  <si>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</si>
  <si>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</si>
  <si>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</si>
  <si>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</si>
  <si>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</si>
  <si>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</si>
  <si>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</si>
  <si>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</si>
  <si>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</si>
  <si>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</si>
  <si>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</si>
  <si>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</si>
  <si>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</si>
  <si>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</si>
  <si>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</si>
  <si>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</si>
  <si>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</si>
  <si>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</si>
  <si>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</si>
  <si>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</si>
  <si>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</si>
  <si>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</si>
  <si>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</si>
  <si>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</si>
  <si>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</si>
  <si>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</si>
  <si>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</si>
  <si>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</si>
  <si>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</si>
  <si>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</si>
  <si>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</si>
  <si>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</si>
  <si>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</si>
  <si>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</si>
  <si>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</si>
  <si>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</si>
  <si>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</si>
  <si>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</si>
  <si>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</si>
  <si>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</si>
  <si>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</si>
  <si>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</si>
  <si>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</si>
  <si>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</si>
  <si>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</si>
  <si>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</si>
  <si>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</si>
  <si>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</si>
  <si>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</si>
  <si>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</si>
  <si>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</si>
  <si>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</si>
  <si>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</si>
  <si>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</si>
  <si>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</si>
  <si>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</si>
  <si>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</si>
  <si>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</si>
  <si>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</si>
  <si>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</si>
  <si>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</si>
  <si>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</si>
  <si>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</si>
  <si>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</si>
  <si>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</si>
  <si>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</si>
  <si>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</si>
  <si>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</si>
  <si>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</si>
  <si>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</si>
  <si>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</si>
  <si>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</si>
  <si>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</si>
  <si>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</si>
  <si>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</si>
  <si>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</si>
  <si>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</si>
  <si>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</si>
  <si>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</si>
  <si>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</si>
  <si>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</si>
  <si>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</si>
  <si>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</si>
  <si>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</si>
  <si>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</si>
  <si>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</si>
  <si>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</si>
  <si>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</si>
  <si>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</si>
  <si>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</si>
  <si>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</si>
  <si>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</si>
  <si>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</si>
  <si>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</si>
  <si>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</si>
  <si>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</si>
  <si>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</si>
  <si>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</si>
  <si>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</si>
  <si>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</si>
  <si>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</si>
  <si>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</si>
  <si>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</si>
  <si>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</si>
  <si>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</si>
  <si>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</si>
  <si>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</si>
  <si>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</si>
  <si>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</si>
  <si>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</si>
  <si>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</si>
  <si>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</si>
  <si>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</si>
  <si>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</si>
  <si>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</si>
  <si>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</si>
  <si>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</si>
  <si>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</si>
  <si>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</si>
  <si>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</si>
  <si>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</si>
  <si>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</si>
  <si>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</si>
  <si>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</si>
  <si>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</si>
  <si>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</si>
  <si>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</si>
  <si>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</si>
  <si>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</si>
  <si>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</si>
  <si>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</si>
  <si>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</si>
  <si>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</si>
  <si>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</si>
  <si>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</si>
  <si>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</si>
  <si>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</si>
  <si>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</si>
  <si>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</si>
  <si>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</si>
  <si>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</si>
  <si>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</si>
  <si>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</si>
  <si>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</si>
  <si>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</si>
  <si>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</si>
  <si>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</si>
  <si>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</si>
  <si>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</si>
  <si>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</si>
  <si>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</si>
  <si>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</si>
  <si>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</si>
  <si>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</si>
  <si>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</si>
  <si>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</si>
  <si>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</si>
  <si>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</si>
  <si>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</si>
  <si>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</si>
  <si>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</si>
  <si>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</si>
  <si>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</si>
  <si>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</si>
  <si>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</si>
  <si>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</si>
  <si>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</si>
  <si>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</si>
  <si>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</si>
  <si>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</si>
  <si>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</si>
  <si>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</si>
  <si>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</si>
  <si>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</si>
  <si>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</si>
  <si>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</si>
  <si>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</si>
  <si>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</si>
  <si>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</si>
  <si>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</si>
  <si>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</si>
  <si>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</si>
  <si>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</si>
  <si>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</si>
  <si>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</si>
  <si>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</si>
  <si>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</si>
  <si>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</si>
  <si>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</si>
  <si>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</si>
  <si>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</si>
  <si>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</si>
  <si>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</si>
  <si>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</si>
  <si>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</si>
  <si>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</si>
  <si>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</si>
  <si>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</si>
  <si>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</si>
  <si>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</si>
  <si>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</si>
  <si>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</si>
  <si>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</si>
  <si>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</si>
  <si>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</si>
  <si>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</si>
  <si>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</si>
  <si>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</si>
  <si>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</si>
  <si>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</si>
  <si>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</si>
  <si>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</si>
  <si>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</si>
  <si>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</si>
  <si>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</si>
  <si>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</si>
  <si>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</si>
  <si>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</si>
  <si>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</si>
  <si>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</si>
  <si>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</si>
  <si>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</si>
  <si>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</si>
  <si>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</si>
  <si>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</si>
  <si>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</si>
  <si>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</si>
  <si>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</si>
  <si>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</si>
  <si>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</si>
  <si>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</si>
  <si>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</si>
  <si>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</si>
  <si>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</si>
  <si>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</si>
  <si>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</si>
  <si>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</si>
  <si>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</si>
  <si>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</si>
  <si>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</si>
  <si>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</si>
  <si>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</si>
  <si>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</si>
  <si>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</si>
  <si>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</si>
  <si>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</si>
  <si>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</si>
  <si>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</si>
  <si>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</si>
  <si>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</si>
  <si>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</si>
  <si>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</si>
  <si>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</si>
  <si>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</si>
  <si>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</si>
  <si>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</si>
  <si>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</si>
  <si>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</si>
  <si>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</si>
  <si>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</si>
  <si>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</si>
  <si>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</si>
  <si>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</si>
  <si>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</si>
  <si>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</si>
  <si>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</si>
  <si>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</si>
  <si>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</si>
  <si>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</si>
  <si>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</si>
  <si>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</si>
  <si>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</si>
  <si>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</si>
  <si>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</si>
  <si>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</si>
  <si>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</si>
  <si>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</si>
  <si>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</si>
  <si>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</si>
  <si>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</si>
  <si>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</si>
  <si>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</si>
  <si>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</si>
  <si>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</si>
  <si>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</si>
  <si>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</si>
  <si>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</si>
  <si>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</si>
  <si>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</si>
  <si>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</si>
  <si>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</si>
  <si>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</si>
  <si>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</si>
  <si>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</si>
  <si>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</si>
  <si>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</si>
  <si>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</si>
  <si>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</si>
  <si>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</si>
  <si>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</si>
  <si>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</si>
  <si>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</si>
  <si>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</si>
  <si>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</si>
  <si>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</si>
  <si>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</si>
  <si>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</si>
  <si>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</si>
  <si>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</si>
  <si>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</si>
  <si>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</si>
  <si>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</si>
  <si>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</si>
  <si>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</si>
  <si>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</si>
  <si>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</si>
  <si>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</si>
  <si>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</si>
  <si>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</si>
  <si>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</si>
  <si>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</si>
  <si>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</si>
  <si>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</si>
  <si>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</si>
  <si>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</si>
  <si>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</si>
  <si>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</si>
  <si>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</si>
  <si>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</si>
  <si>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</si>
  <si>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</si>
  <si>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</si>
  <si>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</si>
  <si>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</si>
  <si>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</si>
  <si>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</si>
  <si>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</si>
  <si>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</si>
  <si>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</si>
  <si>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</si>
  <si>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</si>
  <si>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</si>
  <si>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</si>
  <si>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</si>
  <si>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</si>
  <si>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</si>
  <si>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</si>
  <si>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</si>
  <si>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</si>
  <si>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</si>
  <si>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</si>
  <si>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</si>
  <si>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</si>
  <si>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</si>
  <si>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</si>
  <si>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</si>
  <si>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</si>
  <si>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</si>
  <si>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</si>
  <si>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</si>
  <si>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</si>
  <si>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</si>
  <si>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</si>
  <si>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</si>
  <si>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</si>
  <si>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</si>
  <si>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</si>
  <si>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</si>
  <si>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</si>
  <si>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</si>
  <si>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</si>
  <si>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</si>
  <si>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</si>
  <si>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</si>
  <si>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</si>
  <si>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</si>
  <si>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</si>
  <si>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</si>
  <si>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</si>
  <si>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</si>
  <si>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</si>
  <si>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</si>
  <si>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</si>
  <si>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</si>
  <si>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</si>
  <si>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</si>
  <si>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</si>
  <si>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</si>
  <si>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</si>
  <si>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</si>
  <si>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</si>
  <si>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</si>
  <si>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</si>
  <si>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</si>
  <si>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</si>
  <si>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</si>
  <si>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</si>
  <si>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</si>
  <si>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</si>
  <si>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</si>
  <si>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</si>
  <si>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</si>
  <si>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</si>
  <si>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</si>
  <si>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</si>
  <si>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</si>
  <si>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</si>
  <si>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</si>
  <si>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</si>
  <si>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</si>
  <si>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</si>
  <si>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</si>
  <si>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</si>
  <si>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</si>
  <si>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</si>
  <si>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</si>
  <si>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</si>
  <si>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</si>
  <si>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</si>
  <si>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</si>
  <si>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</si>
  <si>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</si>
  <si>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</si>
  <si>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</si>
  <si>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</si>
  <si>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</si>
  <si>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</si>
  <si>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</si>
  <si>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</si>
  <si>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</si>
  <si>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</si>
  <si>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</si>
  <si>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</si>
  <si>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</si>
  <si>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</si>
  <si>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</si>
  <si>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</si>
  <si>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</si>
  <si>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</si>
  <si>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</si>
  <si>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</si>
  <si>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</si>
  <si>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</si>
  <si>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</si>
  <si>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</si>
  <si>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</si>
  <si>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</si>
  <si>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</si>
  <si>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</si>
  <si>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</si>
  <si>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</si>
  <si>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</si>
  <si>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</si>
  <si>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</si>
  <si>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</si>
  <si>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</si>
  <si>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</si>
  <si>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</si>
  <si>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</si>
  <si>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</si>
  <si>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</si>
  <si>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</si>
  <si>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</si>
  <si>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</si>
  <si>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</si>
  <si>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</si>
  <si>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</si>
  <si>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</si>
  <si>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</si>
  <si>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</si>
  <si>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</si>
  <si>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</si>
  <si>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</si>
  <si>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</si>
  <si>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</si>
  <si>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</si>
  <si>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</si>
  <si>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</si>
  <si>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</si>
  <si>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</si>
  <si>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</si>
  <si>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</si>
  <si>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</si>
  <si>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</si>
  <si>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</si>
  <si>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</si>
  <si>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</si>
  <si>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</si>
  <si>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</si>
  <si>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</si>
  <si>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</si>
  <si>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</si>
  <si>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</si>
  <si>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</si>
  <si>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</si>
  <si>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</si>
  <si>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</si>
  <si>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</si>
  <si>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</si>
  <si>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</si>
  <si>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</si>
  <si>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</si>
  <si>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</si>
  <si>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</si>
  <si>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</si>
  <si>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</si>
  <si>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</si>
  <si>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</si>
  <si>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</si>
  <si>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</si>
  <si>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</si>
  <si>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</si>
  <si>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</si>
  <si>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</si>
  <si>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</si>
  <si>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</si>
  <si>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</si>
  <si>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</si>
  <si>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</si>
  <si>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</si>
  <si>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</si>
  <si>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</si>
  <si>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</si>
  <si>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</si>
  <si>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</si>
  <si>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</si>
  <si>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</si>
  <si>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</si>
  <si>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</si>
  <si>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</si>
  <si>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</si>
  <si>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</si>
  <si>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</si>
  <si>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</si>
  <si>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</si>
  <si>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</si>
  <si>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</si>
  <si>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</si>
  <si>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</si>
  <si>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</si>
  <si>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</si>
  <si>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</si>
  <si>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</si>
  <si>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</si>
  <si>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</si>
  <si>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</si>
  <si>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</si>
  <si>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</si>
  <si>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</si>
  <si>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</si>
  <si>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</si>
  <si>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</si>
  <si>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</si>
  <si>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</si>
  <si>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</si>
  <si>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</si>
  <si>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</si>
  <si>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</si>
  <si>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</si>
  <si>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</si>
  <si>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</si>
  <si>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</si>
  <si>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</si>
  <si>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</si>
  <si>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</si>
  <si>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</si>
  <si>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</si>
  <si>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</si>
  <si>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</si>
  <si>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</si>
  <si>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</si>
  <si>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</si>
  <si>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</si>
  <si>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</si>
  <si>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</si>
  <si>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</si>
  <si>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</si>
  <si>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</si>
  <si>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</si>
  <si>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</si>
  <si>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</si>
  <si>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</si>
  <si>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</si>
  <si>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</si>
  <si>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</si>
  <si>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</si>
  <si>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</si>
  <si>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</si>
  <si>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</si>
  <si>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</si>
  <si>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</si>
  <si>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</si>
  <si>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</si>
  <si>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</si>
  <si>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</si>
  <si>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</si>
  <si>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</si>
  <si>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</si>
  <si>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</si>
  <si>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</si>
  <si>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</si>
  <si>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</si>
  <si>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</si>
  <si>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</si>
  <si>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</si>
  <si>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</si>
  <si>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</si>
  <si>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</si>
  <si>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</si>
  <si>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</si>
  <si>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</si>
  <si>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</si>
  <si>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</si>
  <si>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</si>
  <si>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</si>
  <si>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</si>
  <si>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</si>
  <si>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</si>
  <si>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</si>
  <si>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</si>
  <si>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</si>
  <si>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</si>
  <si>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</si>
  <si>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</si>
  <si>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</si>
  <si>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</si>
  <si>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</si>
  <si>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</si>
  <si>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</si>
  <si>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</si>
  <si>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</si>
  <si>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</si>
  <si>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</si>
  <si>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</si>
  <si>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</si>
  <si>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</si>
  <si>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</si>
  <si>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</si>
  <si>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</si>
  <si>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</si>
  <si>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</si>
  <si>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</si>
  <si>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</si>
  <si>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</si>
  <si>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</si>
  <si>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</si>
  <si>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</si>
  <si>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</si>
  <si>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</si>
  <si>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</si>
  <si>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</si>
  <si>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</si>
  <si>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</si>
  <si>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</si>
  <si>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</si>
  <si>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</si>
  <si>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</si>
  <si>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</si>
  <si>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</si>
  <si>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</si>
  <si>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</si>
  <si>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</si>
  <si>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</si>
  <si>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</si>
  <si>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</si>
  <si>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</si>
  <si>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</si>
  <si>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</si>
  <si>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</si>
  <si>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</si>
  <si>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</si>
  <si>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</si>
  <si>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</si>
  <si>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</si>
  <si>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</si>
  <si>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</si>
  <si>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</si>
  <si>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</si>
  <si>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</si>
  <si>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</si>
  <si>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</si>
  <si>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</si>
  <si>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</si>
  <si>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</si>
  <si>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</si>
  <si>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</si>
  <si>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</si>
  <si>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</si>
  <si>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</si>
  <si>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</si>
  <si>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</si>
  <si>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</si>
  <si>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</si>
  <si>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</si>
  <si>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</si>
  <si>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</si>
  <si>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</si>
  <si>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</si>
  <si>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</si>
  <si>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</si>
  <si>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</si>
  <si>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</si>
  <si>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</si>
  <si>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</si>
  <si>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</si>
  <si>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</si>
  <si>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</si>
  <si>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</si>
  <si>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</si>
  <si>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</si>
  <si>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</si>
  <si>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</si>
  <si>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</si>
  <si>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</si>
  <si>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</si>
  <si>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</si>
  <si>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</si>
  <si>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</si>
  <si>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</si>
  <si>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</si>
  <si>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</si>
  <si>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</si>
  <si>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</si>
  <si>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</si>
  <si>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</si>
  <si>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</si>
  <si>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</si>
  <si>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</si>
  <si>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</si>
  <si>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</si>
  <si>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</si>
  <si>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</si>
  <si>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</si>
  <si>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</si>
  <si>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</si>
  <si>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</si>
  <si>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</si>
  <si>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</si>
  <si>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</si>
  <si>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</si>
  <si>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</si>
  <si>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</si>
  <si>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</si>
  <si>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</si>
  <si>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</si>
  <si>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</si>
  <si>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</si>
  <si>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</si>
  <si>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</si>
  <si>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</si>
  <si>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</si>
  <si>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</si>
  <si>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</si>
  <si>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</si>
  <si>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</si>
  <si>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</si>
  <si>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</si>
  <si>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</si>
  <si>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</si>
  <si>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</si>
  <si>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</si>
  <si>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</si>
  <si>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</si>
  <si>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</si>
  <si>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</si>
  <si>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</si>
  <si>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</si>
  <si>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</si>
  <si>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</si>
  <si>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</si>
  <si>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</si>
  <si>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</si>
  <si>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</si>
  <si>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</si>
  <si>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</si>
  <si>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</si>
  <si>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</si>
  <si>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</si>
  <si>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</si>
  <si>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</si>
  <si>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</si>
  <si>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</si>
  <si>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</si>
  <si>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</si>
  <si>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</si>
  <si>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</si>
  <si>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</si>
  <si>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</si>
  <si>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</si>
  <si>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</si>
  <si>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</si>
  <si>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</si>
  <si>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</si>
  <si>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</si>
  <si>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</si>
  <si>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</si>
  <si>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</si>
  <si>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</si>
  <si>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</si>
  <si>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</si>
  <si>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</si>
  <si>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</si>
  <si>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</si>
  <si>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</si>
  <si>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</si>
  <si>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</si>
  <si>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</si>
  <si>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</si>
  <si>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</si>
  <si>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</si>
  <si>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</si>
  <si>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</si>
  <si>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</si>
  <si>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</si>
  <si>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</si>
  <si>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</si>
  <si>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</si>
  <si>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</si>
  <si>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</si>
  <si>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</si>
  <si>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</si>
  <si>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</si>
  <si>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</si>
  <si>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</si>
  <si>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</si>
  <si>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</si>
  <si>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</si>
  <si>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</si>
  <si>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</si>
  <si>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</si>
  <si>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</si>
  <si>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</si>
  <si>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</si>
  <si>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</si>
  <si>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</si>
  <si>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</si>
  <si>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</si>
  <si>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</si>
  <si>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</si>
  <si>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</si>
  <si>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</si>
  <si>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</si>
  <si>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</si>
  <si>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</si>
  <si>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</si>
  <si>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</si>
  <si>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</si>
  <si>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</si>
  <si>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</si>
  <si>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</si>
  <si>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</si>
  <si>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</si>
  <si>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</si>
  <si>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</si>
  <si>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</si>
  <si>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</si>
  <si>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</si>
  <si>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</si>
  <si>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</si>
  <si>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</si>
  <si>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</si>
  <si>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</si>
  <si>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</si>
  <si>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</si>
  <si>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</si>
  <si>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</si>
  <si>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</si>
  <si>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</si>
  <si>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</si>
  <si>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</si>
  <si>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</si>
  <si>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</si>
  <si>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</si>
  <si>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</si>
  <si>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</si>
  <si>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</si>
  <si>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</si>
  <si>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</si>
  <si>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</si>
  <si>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</si>
  <si>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</si>
  <si>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</si>
  <si>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</si>
  <si>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</si>
  <si>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</si>
  <si>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</si>
  <si>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</si>
  <si>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</si>
  <si>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</si>
  <si>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</si>
  <si>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</si>
  <si>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</si>
  <si>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</si>
  <si>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</si>
  <si>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</si>
  <si>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</si>
  <si>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</si>
  <si>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</si>
  <si>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</si>
  <si>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</si>
  <si>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</si>
  <si>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</si>
  <si>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</si>
  <si>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</si>
  <si>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</si>
  <si>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</si>
  <si>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</si>
  <si>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</si>
  <si>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</si>
  <si>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</si>
  <si>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</si>
  <si>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</si>
  <si>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</si>
  <si>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</si>
  <si>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</si>
  <si>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</si>
  <si>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</si>
  <si>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</si>
  <si>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</si>
  <si>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</si>
  <si>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</si>
  <si>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</si>
  <si>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</si>
  <si>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</si>
  <si>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</si>
  <si>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</si>
  <si>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</si>
  <si>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</si>
  <si>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</si>
  <si>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</si>
  <si>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</si>
  <si>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</si>
  <si>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</si>
  <si>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</si>
  <si>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</si>
  <si>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</si>
  <si>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</si>
  <si>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</si>
  <si>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</si>
  <si>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</si>
  <si>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</si>
  <si>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</si>
  <si>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</si>
  <si>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</si>
  <si>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</si>
  <si>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</si>
  <si>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</si>
  <si>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</si>
  <si>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</si>
  <si>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</si>
  <si>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</si>
  <si>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</si>
  <si>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</si>
  <si>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</si>
  <si>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</si>
  <si>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</si>
  <si>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</si>
  <si>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</si>
  <si>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</si>
  <si>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</si>
  <si>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</si>
  <si>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</si>
  <si>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</si>
  <si>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</si>
  <si>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</si>
  <si>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</si>
  <si>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</si>
  <si>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</si>
  <si>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</si>
  <si>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</si>
  <si>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</si>
  <si>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</si>
  <si>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</si>
  <si>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</si>
  <si>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</si>
  <si>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</si>
  <si>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</si>
  <si>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</si>
  <si>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</si>
  <si>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</si>
  <si>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</si>
  <si>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</si>
  <si>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</si>
  <si>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</si>
  <si>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</si>
  <si>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</si>
  <si>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</si>
  <si>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</si>
  <si>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</si>
  <si>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</si>
  <si>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</si>
  <si>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</si>
  <si>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</si>
  <si>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</si>
  <si>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</si>
  <si>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</si>
  <si>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</si>
  <si>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</si>
  <si>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</si>
  <si>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</si>
  <si>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</si>
  <si>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</si>
  <si>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</si>
  <si>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</si>
  <si>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</si>
  <si>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</si>
  <si>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</si>
  <si>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</si>
  <si>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</si>
  <si>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</si>
  <si>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</si>
  <si>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</si>
  <si>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</si>
  <si>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</si>
  <si>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</si>
  <si>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</si>
  <si>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</si>
  <si>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</si>
  <si>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</si>
  <si>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</si>
  <si>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</si>
  <si>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</si>
  <si>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</si>
  <si>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</si>
  <si>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</si>
  <si>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</si>
  <si>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</si>
  <si>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</si>
  <si>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</si>
  <si>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</si>
  <si>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</si>
  <si>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</si>
  <si>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</si>
  <si>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</si>
  <si>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</si>
  <si>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</si>
  <si>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</si>
  <si>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</si>
  <si>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</si>
  <si>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</si>
  <si>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</si>
  <si>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</si>
  <si>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</si>
  <si>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</si>
  <si>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</si>
  <si>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</si>
  <si>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</si>
  <si>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</si>
  <si>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</si>
  <si>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</si>
  <si>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</si>
  <si>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</si>
  <si>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</si>
  <si>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</si>
  <si>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</si>
  <si>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</si>
  <si>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</si>
  <si>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</si>
  <si>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</si>
  <si>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</si>
  <si>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</si>
  <si>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</si>
  <si>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</si>
  <si>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</si>
  <si>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</si>
  <si>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</si>
  <si>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</si>
  <si>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</si>
  <si>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</si>
  <si>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</si>
  <si>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</si>
  <si>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</si>
  <si>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</si>
  <si>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</si>
  <si>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</si>
  <si>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</si>
  <si>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</si>
  <si>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</si>
  <si>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</si>
  <si>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</si>
  <si>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</si>
  <si>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</si>
  <si>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</si>
  <si>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</si>
  <si>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</si>
  <si>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</si>
  <si>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</si>
  <si>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</si>
  <si>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</si>
  <si>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</si>
  <si>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</si>
  <si>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</si>
  <si>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</si>
  <si>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</si>
  <si>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</si>
  <si>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</si>
  <si>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</si>
  <si>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</si>
  <si>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</si>
  <si>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</si>
  <si>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</si>
  <si>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</si>
  <si>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</si>
  <si>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</si>
  <si>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</si>
  <si>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</si>
  <si>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</si>
  <si>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</si>
  <si>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</si>
  <si>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</si>
  <si>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</si>
  <si>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</si>
  <si>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</si>
  <si>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</si>
  <si>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</si>
  <si>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</si>
  <si>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</si>
  <si>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</si>
  <si>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</si>
  <si>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</si>
  <si>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</si>
  <si>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</si>
  <si>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</si>
  <si>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</si>
  <si>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</si>
  <si>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</si>
  <si>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</si>
  <si>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</si>
  <si>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</si>
  <si>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</si>
  <si>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</si>
  <si>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</si>
  <si>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</si>
  <si>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</si>
  <si>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</si>
  <si>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</si>
  <si>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</si>
  <si>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</si>
  <si>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</si>
  <si>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</si>
  <si>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</si>
  <si>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</si>
  <si>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</si>
  <si>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</si>
  <si>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</si>
  <si>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</si>
  <si>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</si>
  <si>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</si>
  <si>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</si>
  <si>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</si>
  <si>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</si>
  <si>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</si>
  <si>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</si>
  <si>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</si>
  <si>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</si>
  <si>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</si>
  <si>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</si>
  <si>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</si>
  <si>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</si>
  <si>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</si>
  <si>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</si>
  <si>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</si>
  <si>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</si>
  <si>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</si>
  <si>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</si>
  <si>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</si>
  <si>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</si>
  <si>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</si>
  <si>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</si>
  <si>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</si>
  <si>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</si>
  <si>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</si>
  <si>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</si>
  <si>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</si>
  <si>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</si>
  <si>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</si>
  <si>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</si>
  <si>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</si>
  <si>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</si>
  <si>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</si>
  <si>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</si>
  <si>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</si>
  <si>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</si>
  <si>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</si>
  <si>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</si>
  <si>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</si>
  <si>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</si>
  <si>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</si>
  <si>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</si>
  <si>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</si>
  <si>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</si>
  <si>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</si>
  <si>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</si>
  <si>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</si>
  <si>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</si>
  <si>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</si>
  <si>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</si>
  <si>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</si>
  <si>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</si>
  <si>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</si>
  <si>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</si>
  <si>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</si>
  <si>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</si>
  <si>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</si>
  <si>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</si>
  <si>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</si>
  <si>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</si>
  <si>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</si>
  <si>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</si>
  <si>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</si>
  <si>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</si>
  <si>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</si>
  <si>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</si>
  <si>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</si>
  <si>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</si>
  <si>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</si>
  <si>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</si>
  <si>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</si>
  <si>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</si>
  <si>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</si>
  <si>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</si>
  <si>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</si>
  <si>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</si>
  <si>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</si>
  <si>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</si>
  <si>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</si>
  <si>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</si>
  <si>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</si>
  <si>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</si>
  <si>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</si>
  <si>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</si>
  <si>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</si>
  <si>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</si>
  <si>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</si>
  <si>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</si>
  <si>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</si>
  <si>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</si>
  <si>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</si>
  <si>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</si>
  <si>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</si>
  <si>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</si>
  <si>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</si>
  <si>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</si>
  <si>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</si>
  <si>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</si>
  <si>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</si>
  <si>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</si>
  <si>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</si>
  <si>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</si>
  <si>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</si>
  <si>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</si>
  <si>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</si>
  <si>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</si>
  <si>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</si>
  <si>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</si>
  <si>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</si>
  <si>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</si>
  <si>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</si>
  <si>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</si>
  <si>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</si>
  <si>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</si>
  <si>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</si>
  <si>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</si>
  <si>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</si>
  <si>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</si>
  <si>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</si>
  <si>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</si>
  <si>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</si>
  <si>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</si>
  <si>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</si>
  <si>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</si>
  <si>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</si>
  <si>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</si>
  <si>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</si>
  <si>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</si>
  <si>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</si>
  <si>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</si>
  <si>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</si>
  <si>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</si>
  <si>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</si>
  <si>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</si>
  <si>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</si>
  <si>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</si>
  <si>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</si>
  <si>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</si>
  <si>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</si>
  <si>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</si>
  <si>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</si>
  <si>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</si>
  <si>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</si>
  <si>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</si>
  <si>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</si>
  <si>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</si>
  <si>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</si>
  <si>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</si>
  <si>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</si>
  <si>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</si>
  <si>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</si>
  <si>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</si>
  <si>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</si>
  <si>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</si>
  <si>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</si>
  <si>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</si>
  <si>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</si>
  <si>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</si>
  <si>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</si>
  <si>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</si>
  <si>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</si>
  <si>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</si>
  <si>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</si>
  <si>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</si>
  <si>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</si>
  <si>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</si>
  <si>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</si>
  <si>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</si>
  <si>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</si>
  <si>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</si>
  <si>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</si>
  <si>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</si>
  <si>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</si>
  <si>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</si>
  <si>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</si>
  <si>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</si>
  <si>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</si>
  <si>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</si>
  <si>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</si>
  <si>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</si>
  <si>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</si>
  <si>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</si>
  <si>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</si>
  <si>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</si>
  <si>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</si>
  <si>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</si>
  <si>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</si>
  <si>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</si>
  <si>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</si>
  <si>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</si>
  <si>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</si>
  <si>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</si>
  <si>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</si>
  <si>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</si>
  <si>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</si>
  <si>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</si>
  <si>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</si>
  <si>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</si>
  <si>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</si>
  <si>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</si>
  <si>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</si>
  <si>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</si>
  <si>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</si>
  <si>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</si>
  <si>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</si>
  <si>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</si>
  <si>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</si>
  <si>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</si>
  <si>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</si>
  <si>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</si>
  <si>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</si>
  <si>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</si>
  <si>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</si>
  <si>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</si>
  <si>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</si>
  <si>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</si>
  <si>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</si>
  <si>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</si>
  <si>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</si>
  <si>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</si>
  <si>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</si>
  <si>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</si>
  <si>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</si>
  <si>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</si>
  <si>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</si>
  <si>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</si>
  <si>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</si>
  <si>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</si>
  <si>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</si>
  <si>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</si>
  <si>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</si>
  <si>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</si>
  <si>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</si>
  <si>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</si>
  <si>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</si>
  <si>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</si>
  <si>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</si>
  <si>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</si>
  <si>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</si>
  <si>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</si>
  <si>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</si>
  <si>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</si>
  <si>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</si>
  <si>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</si>
  <si>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</si>
  <si>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</si>
  <si>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</si>
  <si>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</si>
  <si>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</si>
  <si>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</si>
  <si>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</si>
  <si>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</si>
  <si>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</si>
  <si>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</si>
  <si>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</si>
  <si>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</si>
  <si>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</si>
  <si>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</si>
  <si>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</si>
  <si>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</si>
  <si>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</si>
  <si>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</si>
  <si>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</si>
  <si>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</si>
  <si>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</si>
  <si>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</si>
  <si>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</si>
  <si>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</si>
  <si>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</si>
  <si>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</si>
  <si>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</si>
  <si>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</si>
  <si>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</si>
  <si>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</si>
  <si>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</si>
  <si>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</si>
  <si>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</si>
  <si>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</si>
  <si>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</si>
  <si>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</si>
  <si>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</si>
  <si>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</si>
  <si>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</si>
  <si>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</si>
  <si>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</si>
  <si>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</si>
  <si>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</si>
  <si>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</si>
  <si>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</si>
  <si>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</si>
  <si>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</si>
  <si>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</si>
  <si>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</si>
  <si>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</si>
  <si>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</si>
  <si>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</si>
  <si>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</si>
  <si>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</si>
  <si>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</si>
  <si>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</si>
  <si>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</si>
  <si>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</si>
  <si>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</si>
  <si>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</si>
  <si>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</si>
  <si>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</si>
  <si>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</si>
  <si>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</si>
  <si>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</si>
  <si>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</si>
  <si>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</si>
  <si>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</si>
  <si>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</si>
  <si>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</si>
  <si>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</si>
  <si>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</si>
  <si>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</si>
  <si>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</si>
  <si>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</si>
  <si>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</si>
  <si>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</si>
  <si>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</si>
  <si>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</si>
  <si>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</si>
  <si>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</si>
  <si>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</si>
  <si>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</si>
  <si>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</si>
  <si>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</si>
  <si>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</si>
  <si>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</si>
  <si>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</si>
  <si>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</si>
  <si>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</si>
  <si>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</si>
  <si>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</si>
  <si>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</si>
  <si>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</si>
  <si>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</si>
  <si>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</si>
  <si>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</si>
  <si>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</si>
  <si>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</si>
  <si>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</si>
  <si>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</si>
  <si>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</si>
  <si>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</si>
  <si>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</si>
  <si>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</si>
  <si>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</si>
  <si>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</si>
  <si>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</si>
  <si>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</si>
  <si>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</si>
  <si>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</si>
  <si>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</si>
  <si>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</si>
  <si>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</si>
  <si>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</si>
  <si>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</si>
  <si>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</si>
  <si>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</si>
  <si>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</si>
  <si>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</si>
  <si>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</si>
  <si>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</si>
  <si>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</si>
  <si>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</si>
  <si>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</si>
  <si>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</si>
  <si>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</si>
  <si>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</si>
  <si>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</si>
  <si>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</si>
  <si>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</si>
  <si>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</si>
  <si>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</si>
  <si>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</si>
  <si>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</si>
  <si>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</si>
  <si>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</si>
  <si>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</si>
  <si>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</si>
  <si>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</si>
  <si>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</si>
  <si>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</si>
  <si>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</si>
  <si>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</si>
  <si>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</si>
  <si>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</si>
  <si>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</si>
  <si>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</si>
  <si>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</si>
  <si>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</si>
  <si>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</si>
  <si>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</si>
  <si>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</si>
  <si>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</si>
  <si>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</si>
  <si>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</si>
  <si>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</si>
  <si>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</si>
  <si>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</si>
  <si>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</si>
  <si>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</si>
  <si>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</si>
  <si>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</si>
  <si>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</si>
  <si>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</si>
  <si>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</si>
  <si>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</si>
  <si>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</si>
  <si>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</si>
  <si>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</si>
  <si>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</si>
  <si>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</si>
  <si>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</si>
  <si>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</si>
  <si>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</si>
  <si>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</si>
  <si>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</si>
  <si>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</si>
  <si>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</si>
  <si>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</si>
  <si>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</si>
  <si>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</si>
  <si>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</si>
  <si>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</si>
  <si>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</si>
  <si>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</si>
  <si>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</si>
  <si>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</si>
  <si>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</si>
  <si>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</si>
  <si>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</si>
  <si>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</si>
  <si>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</si>
  <si>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</si>
  <si>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</si>
  <si>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</si>
  <si>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</si>
  <si>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</si>
  <si>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</si>
  <si>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</si>
  <si>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</si>
  <si>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</si>
  <si>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</si>
  <si>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</si>
  <si>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</si>
  <si>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</si>
  <si>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</si>
  <si>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</si>
  <si>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</si>
  <si>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</si>
  <si>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</si>
  <si>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</si>
  <si>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</si>
  <si>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</si>
  <si>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</si>
  <si>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</si>
  <si>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</si>
  <si>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</si>
  <si>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</si>
  <si>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</si>
  <si>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</si>
  <si>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</si>
  <si>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</si>
  <si>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</si>
  <si>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</si>
  <si>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</si>
  <si>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</si>
  <si>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</si>
  <si>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</si>
  <si>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</si>
  <si>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</si>
  <si>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</si>
  <si>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</si>
  <si>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</si>
  <si>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</si>
  <si>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</si>
  <si>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</si>
  <si>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</si>
  <si>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</si>
  <si>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</si>
  <si>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</si>
  <si>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</si>
  <si>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</si>
  <si>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</si>
  <si>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</si>
  <si>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</si>
  <si>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</si>
  <si>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</si>
  <si>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</si>
  <si>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</si>
  <si>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</si>
  <si>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</si>
  <si>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</si>
  <si>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</si>
  <si>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</si>
  <si>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</si>
  <si>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</si>
  <si>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</si>
  <si>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</si>
  <si>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</si>
  <si>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</si>
  <si>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</si>
  <si>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</si>
  <si>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</si>
  <si>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</si>
  <si>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</si>
  <si>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</si>
  <si>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</si>
  <si>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</si>
  <si>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</si>
  <si>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</si>
  <si>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</si>
  <si>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</si>
  <si>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</si>
  <si>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</si>
  <si>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</si>
  <si>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</si>
  <si>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</si>
  <si>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</si>
  <si>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</si>
  <si>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</si>
  <si>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</si>
  <si>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</si>
  <si>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</si>
  <si>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</si>
  <si>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</si>
  <si>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</si>
  <si>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</si>
  <si>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</si>
  <si>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</si>
  <si>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</si>
  <si>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</si>
  <si>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</si>
  <si>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</si>
  <si>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</si>
  <si>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</si>
  <si>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</si>
  <si>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</si>
  <si>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</si>
  <si>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</si>
  <si>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</si>
  <si>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</si>
  <si>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</si>
  <si>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</si>
  <si>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</si>
  <si>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</si>
  <si>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</si>
  <si>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</si>
  <si>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</si>
  <si>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</si>
  <si>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</si>
  <si>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</si>
  <si>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</si>
  <si>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</si>
  <si>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</si>
  <si>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</si>
  <si>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</si>
  <si>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</si>
  <si>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</si>
  <si>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</si>
  <si>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</si>
  <si>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</si>
  <si>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</si>
  <si>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</si>
  <si>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</si>
  <si>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</si>
  <si>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</si>
  <si>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</si>
  <si>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</si>
  <si>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</si>
  <si>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</si>
  <si>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</si>
  <si>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</si>
  <si>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</si>
  <si>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</si>
  <si>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</si>
  <si>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</si>
  <si>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</si>
  <si>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</si>
  <si>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</si>
  <si>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</si>
  <si>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</si>
  <si>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</si>
  <si>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</si>
  <si>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</si>
  <si>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</si>
  <si>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</si>
  <si>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</si>
  <si>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</si>
  <si>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</si>
  <si>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</si>
  <si>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</si>
  <si>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</si>
  <si>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</si>
  <si>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</si>
  <si>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</si>
  <si>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</si>
  <si>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</si>
  <si>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</si>
  <si>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</si>
  <si>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</si>
  <si>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</si>
  <si>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</si>
  <si>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</si>
  <si>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</si>
  <si>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</si>
  <si>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</si>
  <si>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</si>
  <si>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</si>
  <si>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</si>
  <si>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</si>
  <si>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</si>
  <si>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</si>
  <si>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</si>
  <si>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</si>
  <si>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</si>
  <si>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</si>
  <si>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</si>
  <si>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</si>
  <si>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</si>
  <si>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</si>
  <si>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</si>
  <si>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</si>
  <si>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</si>
  <si>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</si>
  <si>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</si>
  <si>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</si>
  <si>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</si>
  <si>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</si>
  <si>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</si>
  <si>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</si>
  <si>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</si>
  <si>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</si>
  <si>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</si>
  <si>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</si>
  <si>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</si>
  <si>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</si>
  <si>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</si>
  <si>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</si>
  <si>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</si>
  <si>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</si>
  <si>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</si>
  <si>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</si>
  <si>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</si>
  <si>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</si>
  <si>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</si>
  <si>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</si>
  <si>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</si>
  <si>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</si>
  <si>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</si>
  <si>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</si>
  <si>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</si>
  <si>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</si>
  <si>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</si>
  <si>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</si>
  <si>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</si>
  <si>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</si>
  <si>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</si>
  <si>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</si>
  <si>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</si>
  <si>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</si>
  <si>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</si>
  <si>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</si>
  <si>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</si>
  <si>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</si>
  <si>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</si>
  <si>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</si>
  <si>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</si>
  <si>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</si>
  <si>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</si>
  <si>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</si>
  <si>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</si>
  <si>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</si>
  <si>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</si>
  <si>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</si>
  <si>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</si>
  <si>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</si>
  <si>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</si>
  <si>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</si>
  <si>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</si>
  <si>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</si>
  <si>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</si>
  <si>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</si>
  <si>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</si>
  <si>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</si>
  <si>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</si>
  <si>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</si>
  <si>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</si>
  <si>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</si>
  <si>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</si>
  <si>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</si>
  <si>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</si>
  <si>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</si>
  <si>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</si>
  <si>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</si>
  <si>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</si>
  <si>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</si>
  <si>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</si>
  <si>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</si>
  <si>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</si>
  <si>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</si>
  <si>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</si>
  <si>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</si>
  <si>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</si>
  <si>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</si>
  <si>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</si>
  <si>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</si>
  <si>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</si>
  <si>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</si>
  <si>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</si>
  <si>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</si>
  <si>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</si>
  <si>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</si>
  <si>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</si>
  <si>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</si>
  <si>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</si>
  <si>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</si>
  <si>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</si>
  <si>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</si>
  <si>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</si>
  <si>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</si>
  <si>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</si>
  <si>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</si>
  <si>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</si>
  <si>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</si>
  <si>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</si>
  <si>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</si>
  <si>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</si>
  <si>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</si>
  <si>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</si>
  <si>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</si>
  <si>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</si>
  <si>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</si>
  <si>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</si>
  <si>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</si>
  <si>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</si>
  <si>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</si>
  <si>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</si>
  <si>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</si>
  <si>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</si>
  <si>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</si>
  <si>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</si>
  <si>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</si>
  <si>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</si>
  <si>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</si>
  <si>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</si>
  <si>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</si>
  <si>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</si>
  <si>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</si>
  <si>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</si>
  <si>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</si>
  <si>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</si>
  <si>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</si>
  <si>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</si>
  <si>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</si>
  <si>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</si>
  <si>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</si>
  <si>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</si>
  <si>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</si>
  <si>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</si>
  <si>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</si>
  <si>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</si>
  <si>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</si>
  <si>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</si>
  <si>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</si>
  <si>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</si>
  <si>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</si>
  <si>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</si>
  <si>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</si>
  <si>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</si>
  <si>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</si>
  <si>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</si>
  <si>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</si>
  <si>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</si>
  <si>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</si>
  <si>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</si>
  <si>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</si>
  <si>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</si>
  <si>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</si>
  <si>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</si>
  <si>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</si>
  <si>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</si>
  <si>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</si>
  <si>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</si>
  <si>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</si>
  <si>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</si>
  <si>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</si>
  <si>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</si>
  <si>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</si>
  <si>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</si>
  <si>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</si>
  <si>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</si>
  <si>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</si>
  <si>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</si>
  <si>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</si>
  <si>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</si>
  <si>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</si>
  <si>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</si>
  <si>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</si>
  <si>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</si>
  <si>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</si>
  <si>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</si>
  <si>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</si>
  <si>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</si>
  <si>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</si>
  <si>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</si>
  <si>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</si>
  <si>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</si>
  <si>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</si>
  <si>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</si>
  <si>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</si>
  <si>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</si>
  <si>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</si>
  <si>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</si>
  <si>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</si>
  <si>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</si>
  <si>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</si>
  <si>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</si>
  <si>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</si>
  <si>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</si>
  <si>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</si>
  <si>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</si>
  <si>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</si>
  <si>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</si>
  <si>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</si>
  <si>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</si>
  <si>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</si>
  <si>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</si>
  <si>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</si>
  <si>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</si>
  <si>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</si>
  <si>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</si>
  <si>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</si>
  <si>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</si>
  <si>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</si>
  <si>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</si>
  <si>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</si>
  <si>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</si>
  <si>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</si>
  <si>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</si>
  <si>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</si>
  <si>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</si>
  <si>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</si>
  <si>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</si>
  <si>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</si>
  <si>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</si>
  <si>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</si>
  <si>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</si>
  <si>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</si>
  <si>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</si>
  <si>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</si>
  <si>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</si>
  <si>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</si>
  <si>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</si>
  <si>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</si>
  <si>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</si>
  <si>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</si>
  <si>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</si>
  <si>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</si>
  <si>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</si>
  <si>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</si>
  <si>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</si>
  <si>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</si>
  <si>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</si>
  <si>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</si>
  <si>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</si>
  <si>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</si>
  <si>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</si>
  <si>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</si>
  <si>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</si>
  <si>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</si>
  <si>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</si>
  <si>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</si>
  <si>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</si>
  <si>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</si>
  <si>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</si>
  <si>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</si>
  <si>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</si>
  <si>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</si>
  <si>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</si>
  <si>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</si>
  <si>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</si>
  <si>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</si>
  <si>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</si>
  <si>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</si>
  <si>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</si>
  <si>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</si>
  <si>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</si>
  <si>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</si>
  <si>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</si>
  <si>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</si>
  <si>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</si>
  <si>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</si>
  <si>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</si>
  <si>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</si>
  <si>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</si>
  <si>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</si>
  <si>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</si>
  <si>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</si>
  <si>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</si>
  <si>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</si>
  <si>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</si>
  <si>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</si>
  <si>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</si>
  <si>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</si>
  <si>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</si>
  <si>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</si>
  <si>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</si>
  <si>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</si>
  <si>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</si>
  <si>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</si>
  <si>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</si>
  <si>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</si>
  <si>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</si>
  <si>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</si>
  <si>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</si>
  <si>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</si>
  <si>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</si>
  <si>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</si>
  <si>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</si>
  <si>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</si>
  <si>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</si>
  <si>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</si>
  <si>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</si>
  <si>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</si>
  <si>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</si>
  <si>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</si>
  <si>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</si>
  <si>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</si>
  <si>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</si>
  <si>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</si>
  <si>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</si>
  <si>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</si>
  <si>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</si>
  <si>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</si>
  <si>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</si>
  <si>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</si>
  <si>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</si>
  <si>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</si>
  <si>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</si>
  <si>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</si>
  <si>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</si>
  <si>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</si>
  <si>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</si>
  <si>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</si>
  <si>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</si>
  <si>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</si>
  <si>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</si>
  <si>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</si>
  <si>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</si>
  <si>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</si>
  <si>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</si>
  <si>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</si>
  <si>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</si>
  <si>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</si>
  <si>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</si>
  <si>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</si>
  <si>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</si>
  <si>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</si>
  <si>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</si>
  <si>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</si>
  <si>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</si>
  <si>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</si>
  <si>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</si>
  <si>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</si>
  <si>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</si>
  <si>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</si>
  <si>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</si>
  <si>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</si>
  <si>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</si>
  <si>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</si>
  <si>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</si>
  <si>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</si>
  <si>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</si>
  <si>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</si>
  <si>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</si>
  <si>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</si>
  <si>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</si>
  <si>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</si>
  <si>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</si>
  <si>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</si>
  <si>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</si>
  <si>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</si>
  <si>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</si>
  <si>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</si>
  <si>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</si>
  <si>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</si>
  <si>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</si>
  <si>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</si>
  <si>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</si>
  <si>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</si>
  <si>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</si>
  <si>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</si>
  <si>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</si>
  <si>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</si>
  <si>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</si>
  <si>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</si>
  <si>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</si>
  <si>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</si>
  <si>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</si>
  <si>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</si>
  <si>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</si>
  <si>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</si>
  <si>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</si>
  <si>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</si>
  <si>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</si>
  <si>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</si>
  <si>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</si>
  <si>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</si>
  <si>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</si>
  <si>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</si>
  <si>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</si>
  <si>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</si>
  <si>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</si>
  <si>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</si>
  <si>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</si>
  <si>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</si>
  <si>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</si>
  <si>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</si>
  <si>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</si>
  <si>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</si>
  <si>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</si>
  <si>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</si>
  <si>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</si>
  <si>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</si>
  <si>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</si>
  <si>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</si>
  <si>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</si>
  <si>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</si>
  <si>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</si>
  <si>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</si>
  <si>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</si>
  <si>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</si>
  <si>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</si>
  <si>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</si>
  <si>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</si>
  <si>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</si>
  <si>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</si>
  <si>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</si>
  <si>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</si>
  <si>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</si>
  <si>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</si>
  <si>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</si>
  <si>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</si>
  <si>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</si>
  <si>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</si>
  <si>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</si>
  <si>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</si>
  <si>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</si>
  <si>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</si>
  <si>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</si>
  <si>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</si>
  <si>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</si>
  <si>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</si>
  <si>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</si>
  <si>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</si>
  <si>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</si>
  <si>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</si>
  <si>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</si>
  <si>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</si>
  <si>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</si>
  <si>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</si>
  <si>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</si>
  <si>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</si>
  <si>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</si>
  <si>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</si>
  <si>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</si>
  <si>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</si>
  <si>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</si>
  <si>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</si>
  <si>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</si>
  <si>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</si>
  <si>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</si>
  <si>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</si>
  <si>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</si>
  <si>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</si>
  <si>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</si>
  <si>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</si>
  <si>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</si>
  <si>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</si>
  <si>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</si>
  <si>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</si>
  <si>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</si>
  <si>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</si>
  <si>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</si>
  <si>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</si>
  <si>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</si>
  <si>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</si>
  <si>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</si>
  <si>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</si>
  <si>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</si>
  <si>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</si>
  <si>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</si>
  <si>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</si>
  <si>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</si>
  <si>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</si>
  <si>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</si>
  <si>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</si>
  <si>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</si>
  <si>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</si>
  <si>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</si>
  <si>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</si>
  <si>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</si>
  <si>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</si>
  <si>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</si>
  <si>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</si>
  <si>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</si>
  <si>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</si>
  <si>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</si>
  <si>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</si>
  <si>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</si>
  <si>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</si>
  <si>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</si>
  <si>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</si>
  <si>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</si>
  <si>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</si>
  <si>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</si>
  <si>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</si>
  <si>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</si>
  <si>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</si>
  <si>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</si>
  <si>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</si>
  <si>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</si>
  <si>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</si>
  <si>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</si>
  <si>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</si>
  <si>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</si>
  <si>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</si>
  <si>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</si>
  <si>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</si>
  <si>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</si>
  <si>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</si>
  <si>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</si>
  <si>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</si>
  <si>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</si>
  <si>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</si>
  <si>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</si>
  <si>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</si>
  <si>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</si>
  <si>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</si>
  <si>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</si>
  <si>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</si>
  <si>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</si>
  <si>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</si>
  <si>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</si>
  <si>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</si>
  <si>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</si>
  <si>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</si>
  <si>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</si>
  <si>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</si>
  <si>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</si>
  <si>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</si>
  <si>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</si>
  <si>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</si>
  <si>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</si>
  <si>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</si>
  <si>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</si>
  <si>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</si>
  <si>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</si>
  <si>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</si>
  <si>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</si>
  <si>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</si>
  <si>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</si>
  <si>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</si>
  <si>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</si>
  <si>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</si>
  <si>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</si>
  <si>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</si>
  <si>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</si>
  <si>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</si>
  <si>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</si>
  <si>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</si>
  <si>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</si>
  <si>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</si>
  <si>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</si>
  <si>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</si>
  <si>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</si>
  <si>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</si>
  <si>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</si>
  <si>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</si>
  <si>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</si>
  <si>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</si>
  <si>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</si>
  <si>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</si>
  <si>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</si>
  <si>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</si>
  <si>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</si>
  <si>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</si>
  <si>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</si>
  <si>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</si>
  <si>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</si>
  <si>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</si>
  <si>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</si>
  <si>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</si>
  <si>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</si>
  <si>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</si>
  <si>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</si>
  <si>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</si>
  <si>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</si>
  <si>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</si>
  <si>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</si>
  <si>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</si>
  <si>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</si>
  <si>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</si>
  <si>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</si>
  <si>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</si>
  <si>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</si>
  <si>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</si>
  <si>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</si>
  <si>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</si>
  <si>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</si>
  <si>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</si>
  <si>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</si>
  <si>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</si>
  <si>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</si>
  <si>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</si>
  <si>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</si>
  <si>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</si>
  <si>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</si>
  <si>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</si>
  <si>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</si>
  <si>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</si>
  <si>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</si>
  <si>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</si>
  <si>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</si>
  <si>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</si>
  <si>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</si>
  <si>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</si>
  <si>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</si>
  <si>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</si>
  <si>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</si>
  <si>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</si>
  <si>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</si>
  <si>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</si>
  <si>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</si>
  <si>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</si>
  <si>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</si>
  <si>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</si>
  <si>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</si>
  <si>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</si>
  <si>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</si>
  <si>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</si>
  <si>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</si>
  <si>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</si>
  <si>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</si>
  <si>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</si>
  <si>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</si>
  <si>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</si>
  <si>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</si>
  <si>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</si>
  <si>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</si>
  <si>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</si>
  <si>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</si>
  <si>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</si>
  <si>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</si>
  <si>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</si>
  <si>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</si>
  <si>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</si>
  <si>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</si>
  <si>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</si>
  <si>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</si>
  <si>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</si>
  <si>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</si>
  <si>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</si>
  <si>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</si>
  <si>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</si>
  <si>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</si>
  <si>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</si>
  <si>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</si>
  <si>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</si>
  <si>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</si>
  <si>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</si>
  <si>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</si>
  <si>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</si>
  <si>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</si>
  <si>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</si>
  <si>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</si>
  <si>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</si>
  <si>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</si>
  <si>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</si>
  <si>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</si>
  <si>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</si>
  <si>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</si>
  <si>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</si>
  <si>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</si>
  <si>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</si>
  <si>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</si>
  <si>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</si>
  <si>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</si>
  <si>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</si>
  <si>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</si>
  <si>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</si>
  <si>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</si>
  <si>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</si>
  <si>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</si>
  <si>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</si>
  <si>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</si>
  <si>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</si>
  <si>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</si>
  <si>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</si>
  <si>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</si>
  <si>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</si>
  <si>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</si>
  <si>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</si>
  <si>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</si>
  <si>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</si>
  <si>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</si>
  <si>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</si>
  <si>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</si>
  <si>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</si>
  <si>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</si>
  <si>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</si>
  <si>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</si>
  <si>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</si>
  <si>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</si>
  <si>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</si>
  <si>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</si>
  <si>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</si>
  <si>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</si>
  <si>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</si>
  <si>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</si>
  <si>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</si>
  <si>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</si>
  <si>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</si>
  <si>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</si>
  <si>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</si>
  <si>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</si>
  <si>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</si>
  <si>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</si>
  <si>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</si>
  <si>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</si>
  <si>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</si>
  <si>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</si>
  <si>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</si>
  <si>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</si>
  <si>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</si>
  <si>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</si>
  <si>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</si>
  <si>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</si>
  <si>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</si>
  <si>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</si>
  <si>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</si>
  <si>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</si>
  <si>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</si>
  <si>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</si>
  <si>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</si>
  <si>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</si>
  <si>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</si>
  <si>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</si>
  <si>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</si>
  <si>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</si>
  <si>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</si>
  <si>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</si>
  <si>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</si>
  <si>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</si>
  <si>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</si>
  <si>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</si>
  <si>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</si>
  <si>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</si>
  <si>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</si>
  <si>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</si>
  <si>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</si>
  <si>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</si>
  <si>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</si>
  <si>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</si>
  <si>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</si>
  <si>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</si>
  <si>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</si>
  <si>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</si>
  <si>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</si>
  <si>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</si>
  <si>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</si>
  <si>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</si>
  <si>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</si>
  <si>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</si>
  <si>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</si>
  <si>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</si>
  <si>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</si>
  <si>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</si>
  <si>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</si>
  <si>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</si>
  <si>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</si>
  <si>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</si>
  <si>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</si>
  <si>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</si>
  <si>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</si>
  <si>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</si>
  <si>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</si>
  <si>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</si>
  <si>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</si>
  <si>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</si>
  <si>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</si>
  <si>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</si>
  <si>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</si>
  <si>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</si>
  <si>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</si>
  <si>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</si>
  <si>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</si>
  <si>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</si>
  <si>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</si>
  <si>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</si>
  <si>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</si>
  <si>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</si>
  <si>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</si>
  <si>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</si>
  <si>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</si>
  <si>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</si>
  <si>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</si>
  <si>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</si>
  <si>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</si>
  <si>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</si>
  <si>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</si>
  <si>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</si>
  <si>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</si>
  <si>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</si>
  <si>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</si>
  <si>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</si>
  <si>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</si>
  <si>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</si>
  <si>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</si>
  <si>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</si>
  <si>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</si>
  <si>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</si>
  <si>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</si>
  <si>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</si>
  <si>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</si>
  <si>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</si>
  <si>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</si>
  <si>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</si>
  <si>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</si>
  <si>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</si>
  <si>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</si>
  <si>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</si>
  <si>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</si>
  <si>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</si>
  <si>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</si>
  <si>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</si>
  <si>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</si>
  <si>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</si>
  <si>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</si>
  <si>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</si>
  <si>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</si>
  <si>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</si>
  <si>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</si>
  <si>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</si>
  <si>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</si>
  <si>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</si>
  <si>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</si>
  <si>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</si>
  <si>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</si>
  <si>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</si>
  <si>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</si>
  <si>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</si>
  <si>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</si>
  <si>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</si>
  <si>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</si>
  <si>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</si>
  <si>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</si>
  <si>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</si>
  <si>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</si>
  <si>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</si>
  <si>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</si>
  <si>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</si>
  <si>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</si>
  <si>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</si>
  <si>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</si>
  <si>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</si>
  <si>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</si>
  <si>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</si>
  <si>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</si>
  <si>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</si>
  <si>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</si>
  <si>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</si>
  <si>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</si>
  <si>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</si>
  <si>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</si>
  <si>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</si>
  <si>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</si>
  <si>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</si>
  <si>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</si>
  <si>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</si>
  <si>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</si>
  <si>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</si>
  <si>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</si>
  <si>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</si>
  <si>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</si>
  <si>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</si>
  <si>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</si>
  <si>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</si>
  <si>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</si>
  <si>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</si>
  <si>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</si>
  <si>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</si>
  <si>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</si>
  <si>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</si>
  <si>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</si>
  <si>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</si>
  <si>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</si>
  <si>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</si>
  <si>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</si>
  <si>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</si>
  <si>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</si>
  <si>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</si>
  <si>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</si>
  <si>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</si>
  <si>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</si>
  <si>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</si>
  <si>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</si>
  <si>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</si>
  <si>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</si>
  <si>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</si>
  <si>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</si>
  <si>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</si>
  <si>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</si>
  <si>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</si>
  <si>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</si>
  <si>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</si>
  <si>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</si>
  <si>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</si>
  <si>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</si>
  <si>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</si>
  <si>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</si>
  <si>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</si>
  <si>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</si>
  <si>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</si>
  <si>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</si>
  <si>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</si>
  <si>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</si>
  <si>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</si>
  <si>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</si>
  <si>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</si>
  <si>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</si>
  <si>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</si>
  <si>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</si>
  <si>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</si>
  <si>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</si>
  <si>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</si>
  <si>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</si>
  <si>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</si>
  <si>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</si>
  <si>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</si>
  <si>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</si>
  <si>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</si>
  <si>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</si>
  <si>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</si>
  <si>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</si>
  <si>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</si>
  <si>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</si>
  <si>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</si>
  <si>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</si>
  <si>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</si>
  <si>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</si>
  <si>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</si>
  <si>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</si>
  <si>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</si>
  <si>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</si>
  <si>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</si>
  <si>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</si>
  <si>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</si>
  <si>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</si>
  <si>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</si>
  <si>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</si>
  <si>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</si>
  <si>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</si>
  <si>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</si>
  <si>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</si>
  <si>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</si>
  <si>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</si>
  <si>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</si>
  <si>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</si>
  <si>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</si>
  <si>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</si>
  <si>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</si>
  <si>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</si>
  <si>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</si>
  <si>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</si>
  <si>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</si>
  <si>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</si>
  <si>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</si>
  <si>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</si>
  <si>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</si>
  <si>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</si>
  <si>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</si>
  <si>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</si>
  <si>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</si>
  <si>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</si>
  <si>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</si>
  <si>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</si>
  <si>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</si>
  <si>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</si>
  <si>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</si>
  <si>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</si>
  <si>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</si>
  <si>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</si>
  <si>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</si>
  <si>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</si>
  <si>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</si>
  <si>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</si>
  <si>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</si>
  <si>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</si>
  <si>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</si>
  <si>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</si>
  <si>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</si>
  <si>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</si>
  <si>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</si>
  <si>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</si>
  <si>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</si>
  <si>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</si>
  <si>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</si>
  <si>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</si>
  <si>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</si>
  <si>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</si>
  <si>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</si>
  <si>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</si>
  <si>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</si>
  <si>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</si>
  <si>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</si>
  <si>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</si>
  <si>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</si>
  <si>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</si>
  <si>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</si>
  <si>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</si>
  <si>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</si>
  <si>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</si>
  <si>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</si>
  <si>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</si>
  <si>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</si>
  <si>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</si>
  <si>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</si>
  <si>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</si>
  <si>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</si>
  <si>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</si>
  <si>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</si>
  <si>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</si>
  <si>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</si>
  <si>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</si>
  <si>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</si>
  <si>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</si>
  <si>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</si>
  <si>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</si>
  <si>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</si>
  <si>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</si>
  <si>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</si>
  <si>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</si>
  <si>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</si>
  <si>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</si>
  <si>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</si>
  <si>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</si>
  <si>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</si>
  <si>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</si>
  <si>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</si>
  <si>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</si>
  <si>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</si>
  <si>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</si>
  <si>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</si>
  <si>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</si>
  <si>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</si>
  <si>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</si>
  <si>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</si>
  <si>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</si>
  <si>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</si>
  <si>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</si>
  <si>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</si>
  <si>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</si>
  <si>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</si>
  <si>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</si>
  <si>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</si>
  <si>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</si>
  <si>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</si>
  <si>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</si>
  <si>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</si>
  <si>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</si>
  <si>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</si>
  <si>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</si>
  <si>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</si>
  <si>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</si>
  <si>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</si>
  <si>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</si>
  <si>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</si>
  <si>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</si>
  <si>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</si>
  <si>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</si>
  <si>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</si>
  <si>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</si>
  <si>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</si>
  <si>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</si>
  <si>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</si>
  <si>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</si>
  <si>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</si>
  <si>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</si>
  <si>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</si>
  <si>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</si>
  <si>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</si>
  <si>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</si>
  <si>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</si>
  <si>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</si>
  <si>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</si>
  <si>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</si>
  <si>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</si>
  <si>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</si>
  <si>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</si>
  <si>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</si>
  <si>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</si>
  <si>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</si>
  <si>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</si>
  <si>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</si>
  <si>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</si>
  <si>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</si>
  <si>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</si>
  <si>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</si>
  <si>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</si>
  <si>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</si>
  <si>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</si>
  <si>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</si>
  <si>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</si>
  <si>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</si>
  <si>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</si>
  <si>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</si>
  <si>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</si>
  <si>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</si>
  <si>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</si>
  <si>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</si>
  <si>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</si>
  <si>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</si>
  <si>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</si>
  <si>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</si>
  <si>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</si>
  <si>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</si>
  <si>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</si>
  <si>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</si>
  <si>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</si>
  <si>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</si>
  <si>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</si>
  <si>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</si>
  <si>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</si>
  <si>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</si>
  <si>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</si>
  <si>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</si>
  <si>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</si>
  <si>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</si>
  <si>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</si>
  <si>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</si>
  <si>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</si>
  <si>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</si>
  <si>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</si>
  <si>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</si>
  <si>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</si>
  <si>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</si>
  <si>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</si>
  <si>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</si>
  <si>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</si>
  <si>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</si>
  <si>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</si>
  <si>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</si>
  <si>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</si>
  <si>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</si>
  <si>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</si>
  <si>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</si>
  <si>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</si>
  <si>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</si>
  <si>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</si>
  <si>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</si>
  <si>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</si>
  <si>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</si>
  <si>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</si>
  <si>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</si>
  <si>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</si>
  <si>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</si>
  <si>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</si>
  <si>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</si>
  <si>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</si>
  <si>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</si>
  <si>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</si>
  <si>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</si>
  <si>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</si>
  <si>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</si>
  <si>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</si>
  <si>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</si>
  <si>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</si>
  <si>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</si>
  <si>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</si>
  <si>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</si>
  <si>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</si>
  <si>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</si>
  <si>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</si>
  <si>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</si>
  <si>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</si>
  <si>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</si>
  <si>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</si>
  <si>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</si>
  <si>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</si>
  <si>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</si>
  <si>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</si>
  <si>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</si>
  <si>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</si>
  <si>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</si>
  <si>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</si>
  <si>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</si>
  <si>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</si>
  <si>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</si>
  <si>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</si>
  <si>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</si>
  <si>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</si>
  <si>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</si>
  <si>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</si>
  <si>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</si>
  <si>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</si>
  <si>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</si>
  <si>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</si>
  <si>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</si>
  <si>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</si>
  <si>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</si>
  <si>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</si>
  <si>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</si>
  <si>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</si>
  <si>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</si>
  <si>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</si>
  <si>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</si>
  <si>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</si>
  <si>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</si>
  <si>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</si>
  <si>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</si>
  <si>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</si>
  <si>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</si>
  <si>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</si>
  <si>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</si>
  <si>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</si>
  <si>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</si>
  <si>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</si>
  <si>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</si>
  <si>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</si>
  <si>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</si>
  <si>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</si>
  <si>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</si>
  <si>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</si>
  <si>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</si>
  <si>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</si>
  <si>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</si>
  <si>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</si>
  <si>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</si>
  <si>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</si>
  <si>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</si>
  <si>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</si>
  <si>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</si>
  <si>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</si>
  <si>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</si>
  <si>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</si>
  <si>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</si>
  <si>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</si>
  <si>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</si>
  <si>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</si>
  <si>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</si>
  <si>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</si>
  <si>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</si>
  <si>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</si>
  <si>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</si>
  <si>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</si>
  <si>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</si>
  <si>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</si>
  <si>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</si>
  <si>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</si>
  <si>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</si>
  <si>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</si>
  <si>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</si>
  <si>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</si>
  <si>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</si>
  <si>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</si>
  <si>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</si>
  <si>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</si>
  <si>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</si>
  <si>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</si>
  <si>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</si>
  <si>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</si>
  <si>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</si>
  <si>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</si>
  <si>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</si>
  <si>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</si>
  <si>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</si>
  <si>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</si>
  <si>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</si>
  <si>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</si>
  <si>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</si>
  <si>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</si>
  <si>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</si>
  <si>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</si>
  <si>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</si>
  <si>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</si>
  <si>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</si>
  <si>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</si>
  <si>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</si>
  <si>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</si>
  <si>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</si>
  <si>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</si>
  <si>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</si>
  <si>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</si>
  <si>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</si>
  <si>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</si>
  <si>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</si>
  <si>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</si>
  <si>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</si>
  <si>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</si>
  <si>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China</t>
  </si>
  <si>
    <t/>
  </si>
  <si>
    <t>0.0</t>
  </si>
  <si>
    <t>Not coverd countries area</t>
  </si>
  <si>
    <t>This smelter is RMI Conformant.
http://www.responsiblemineralsinitiative.org/tin-smelters-list/</t>
  </si>
  <si>
    <t>Tanzania</t>
  </si>
  <si>
    <t>This smelter is RMI Conformant.
http://www.responsiblemineralsinitiative.org/gold-refiners-list/</t>
  </si>
  <si>
    <t>This smelter is RMI Conformant.
http://www.responsiblemineralsinitiative.org/tungsten-smelters-list/</t>
  </si>
  <si>
    <t>This smelter is RMI Conformant.
http://www.responsiblemineralsinitiative.org/tantalum-smelters-list/</t>
  </si>
  <si>
    <t>DRC,Burundi,Rwanda</t>
  </si>
  <si>
    <t>DRC or an adjoining countries etc.</t>
  </si>
  <si>
    <t>China,Russia,Canada</t>
  </si>
  <si>
    <t>Recycled</t>
  </si>
  <si>
    <t>Recycled etc.</t>
  </si>
  <si>
    <t>DRC,Burundi,Rwanda,Uganda</t>
  </si>
  <si>
    <t>Burundi,Rwanda</t>
  </si>
  <si>
    <t>Recycled, Scrap etc.</t>
  </si>
  <si>
    <t>Indonesia</t>
  </si>
  <si>
    <t>Bolivia</t>
  </si>
  <si>
    <t>Peru</t>
  </si>
  <si>
    <t>Brazil</t>
  </si>
  <si>
    <t>This smelter is RMI Conformant.
http://www.responsiblemineralsinitiative.org/tungsten-conformant-smelters/</t>
  </si>
  <si>
    <t>Inventronics GmbH</t>
  </si>
  <si>
    <t>Parkring 31-33 85748 Garching DE</t>
  </si>
  <si>
    <t>Angela Garzieri</t>
  </si>
  <si>
    <t>a.garzieri@inventronicsglobal.com</t>
  </si>
  <si>
    <t xml:space="preserve">+3904341829231 </t>
  </si>
  <si>
    <t>28-Aug-2024</t>
  </si>
  <si>
    <t>Luca Bordin</t>
  </si>
  <si>
    <t>Head of Quality</t>
  </si>
  <si>
    <t>l.bordin@inventronicsglobal.com</t>
  </si>
  <si>
    <t>https://www.inventronics-light.com/sustainability</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</si>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</sst>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_);_(* \(#,##0\);_(* &quot;-&quot;_);_(@_)"/>
    <numFmt numFmtId="165" formatCode="_(&quot;$&quot;* #,##0_);_(&quot;$&quot;* \(#,##0\);_(&quot;$&quot;* &quot;-&quot;_);_(@_)"/>
    <numFmt numFmtId="166" formatCode="_(* #,##0.00_);_(* \(#,##0.00\);_(* &quot;-&quot;??_);_(@_)"/>
    <numFmt numFmtId="167" formatCode="_(&quot;$&quot;* #,##0.00_);_(&quot;$&quot;* \(#,##0.00\);_(&quot;$&quot;*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4"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5"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llegamento ipertestuale" xfId="487" builtinId="8"/>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rmale" xfId="0" builtinId="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2395946</xdr:colOff>
      <xdr:row>2</xdr:row>
      <xdr:rowOff>1367608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1824816</xdr:colOff>
      <xdr:row>2</xdr:row>
      <xdr:rowOff>987540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l.bordin@inventronicsgloba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www.inventronics-light.com/sustainability"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837</v>
      </c>
      <c r="C2" s="3"/>
      <c r="D2" s="175"/>
      <c r="E2" s="3"/>
      <c r="F2" s="3"/>
      <c r="G2" s="25"/>
    </row>
    <row r="3" spans="1:7">
      <c r="A3" s="301"/>
      <c r="B3" s="3" t="s">
        <v>829</v>
      </c>
      <c r="C3" s="5"/>
      <c r="D3" s="176"/>
      <c r="E3" s="3"/>
      <c r="F3" s="5"/>
      <c r="G3" s="25"/>
    </row>
    <row r="4" spans="1:7" ht="15.75">
      <c r="A4" s="301"/>
      <c r="B4" s="30" t="s">
        <v>839</v>
      </c>
      <c r="C4" s="6"/>
      <c r="D4" s="177"/>
      <c r="E4" s="3"/>
      <c r="F4" s="6"/>
      <c r="G4" s="25"/>
    </row>
    <row r="5" spans="1:7">
      <c r="A5" s="301"/>
      <c r="B5" s="29" t="s">
        <v>1030</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840</v>
      </c>
      <c r="C9" s="304"/>
      <c r="D9" s="304"/>
      <c r="E9" s="304"/>
      <c r="F9" s="304"/>
      <c r="G9" s="25"/>
    </row>
    <row r="10" spans="1:7" ht="27" customHeight="1">
      <c r="A10" s="301"/>
      <c r="B10" s="305" t="s">
        <v>434</v>
      </c>
      <c r="C10" s="305"/>
      <c r="D10" s="305"/>
      <c r="E10" s="305"/>
      <c r="F10" s="305"/>
      <c r="G10" s="25"/>
    </row>
    <row r="11" spans="1:7" ht="27" customHeight="1">
      <c r="A11" s="301"/>
      <c r="B11" s="306"/>
      <c r="C11" s="306"/>
      <c r="D11" s="306"/>
      <c r="E11" s="306"/>
      <c r="F11" s="306"/>
      <c r="G11" s="25"/>
    </row>
    <row r="12" spans="1:7">
      <c r="A12" s="301"/>
      <c r="B12" s="31" t="s">
        <v>838</v>
      </c>
      <c r="C12" s="32" t="s">
        <v>841</v>
      </c>
      <c r="D12" s="179" t="s">
        <v>842</v>
      </c>
      <c r="E12" s="32" t="s">
        <v>608</v>
      </c>
      <c r="F12" s="32" t="s">
        <v>609</v>
      </c>
      <c r="G12" s="25"/>
    </row>
    <row r="13" spans="1:7" ht="33.75">
      <c r="A13" s="301"/>
      <c r="B13" s="2">
        <v>1</v>
      </c>
      <c r="C13" s="27" t="s">
        <v>1078</v>
      </c>
      <c r="D13" s="28" t="s">
        <v>866</v>
      </c>
      <c r="E13" s="163" t="s">
        <v>843</v>
      </c>
      <c r="F13" s="163"/>
      <c r="G13" s="25"/>
    </row>
    <row r="14" spans="1:7" ht="33.75">
      <c r="A14" s="301"/>
      <c r="B14" s="2">
        <v>2</v>
      </c>
      <c r="C14" s="27" t="s">
        <v>1078</v>
      </c>
      <c r="D14" s="28" t="s">
        <v>1015</v>
      </c>
      <c r="E14" s="163" t="s">
        <v>526</v>
      </c>
      <c r="F14" s="163" t="s">
        <v>527</v>
      </c>
      <c r="G14" s="25"/>
    </row>
    <row r="15" spans="1:7" ht="89.1" customHeight="1">
      <c r="A15" s="301"/>
      <c r="B15" s="307">
        <v>2.0099999999999998</v>
      </c>
      <c r="C15" s="298" t="s">
        <v>1078</v>
      </c>
      <c r="D15" s="310" t="s">
        <v>2229</v>
      </c>
      <c r="E15" s="164" t="s">
        <v>610</v>
      </c>
      <c r="F15" s="164" t="s">
        <v>613</v>
      </c>
      <c r="G15" s="25"/>
    </row>
    <row r="16" spans="1:7" ht="99" customHeight="1">
      <c r="A16" s="301"/>
      <c r="B16" s="308"/>
      <c r="C16" s="299"/>
      <c r="D16" s="311"/>
      <c r="E16" s="165"/>
      <c r="F16" s="165" t="s">
        <v>611</v>
      </c>
      <c r="G16" s="25"/>
    </row>
    <row r="17" spans="1:7" ht="63" customHeight="1">
      <c r="A17" s="301"/>
      <c r="B17" s="309"/>
      <c r="C17" s="300"/>
      <c r="D17" s="312"/>
      <c r="E17" s="27"/>
      <c r="F17" s="27" t="s">
        <v>612</v>
      </c>
      <c r="G17" s="25"/>
    </row>
    <row r="18" spans="1:7" ht="117" customHeight="1">
      <c r="A18" s="301"/>
      <c r="B18" s="307">
        <v>2.02</v>
      </c>
      <c r="C18" s="298" t="s">
        <v>1078</v>
      </c>
      <c r="D18" s="310" t="s">
        <v>2230</v>
      </c>
      <c r="E18" s="164" t="s">
        <v>435</v>
      </c>
      <c r="F18" s="164" t="s">
        <v>521</v>
      </c>
      <c r="G18" s="25"/>
    </row>
    <row r="19" spans="1:7" ht="71.099999999999994" customHeight="1">
      <c r="A19" s="301"/>
      <c r="B19" s="308"/>
      <c r="C19" s="299"/>
      <c r="D19" s="311"/>
      <c r="E19" s="165" t="s">
        <v>525</v>
      </c>
      <c r="F19" s="165" t="s">
        <v>436</v>
      </c>
      <c r="G19" s="25"/>
    </row>
    <row r="20" spans="1:7" ht="90.75" customHeight="1">
      <c r="A20" s="301"/>
      <c r="B20" s="308"/>
      <c r="C20" s="299"/>
      <c r="D20" s="311"/>
      <c r="E20" s="165"/>
      <c r="F20" s="165" t="s">
        <v>615</v>
      </c>
      <c r="G20" s="25"/>
    </row>
    <row r="21" spans="1:7" ht="74.25" customHeight="1">
      <c r="A21" s="301"/>
      <c r="B21" s="309"/>
      <c r="C21" s="300"/>
      <c r="D21" s="312"/>
      <c r="E21" s="27"/>
      <c r="F21" s="27" t="s">
        <v>614</v>
      </c>
      <c r="G21" s="25"/>
    </row>
    <row r="22" spans="1:7" ht="90" customHeight="1">
      <c r="A22" s="301"/>
      <c r="B22" s="292">
        <v>2.0299999999999998</v>
      </c>
      <c r="C22" s="292" t="s">
        <v>812</v>
      </c>
      <c r="D22" s="295" t="s">
        <v>2231</v>
      </c>
      <c r="E22" s="298" t="s">
        <v>433</v>
      </c>
      <c r="F22" s="164" t="s">
        <v>456</v>
      </c>
      <c r="G22" s="25"/>
    </row>
    <row r="23" spans="1:7" ht="109.5" customHeight="1">
      <c r="A23" s="301"/>
      <c r="B23" s="293"/>
      <c r="C23" s="293"/>
      <c r="D23" s="296"/>
      <c r="E23" s="299"/>
      <c r="F23" s="165" t="s">
        <v>813</v>
      </c>
      <c r="G23" s="25"/>
    </row>
    <row r="24" spans="1:7" ht="74.25" customHeight="1">
      <c r="A24" s="301"/>
      <c r="B24" s="294"/>
      <c r="C24" s="294"/>
      <c r="D24" s="297"/>
      <c r="E24" s="300"/>
      <c r="F24" s="27" t="s">
        <v>432</v>
      </c>
      <c r="G24" s="25"/>
    </row>
    <row r="25" spans="1:7" ht="72" customHeight="1">
      <c r="A25" s="301"/>
      <c r="B25" s="2" t="s">
        <v>454</v>
      </c>
      <c r="C25" s="27" t="s">
        <v>455</v>
      </c>
      <c r="D25" s="28" t="s">
        <v>2232</v>
      </c>
      <c r="E25" s="27" t="s">
        <v>2227</v>
      </c>
      <c r="F25" s="27" t="s">
        <v>457</v>
      </c>
      <c r="G25" s="25"/>
    </row>
    <row r="26" spans="1:7" ht="98.1" customHeight="1">
      <c r="A26" s="301"/>
      <c r="B26" s="313">
        <v>3</v>
      </c>
      <c r="C26" s="307" t="s">
        <v>67</v>
      </c>
      <c r="D26" s="310" t="s">
        <v>2233</v>
      </c>
      <c r="E26" s="298" t="s">
        <v>0</v>
      </c>
      <c r="F26" s="164" t="s">
        <v>61</v>
      </c>
      <c r="G26" s="25"/>
    </row>
    <row r="27" spans="1:7" ht="90" customHeight="1">
      <c r="A27" s="301"/>
      <c r="B27" s="314"/>
      <c r="C27" s="308"/>
      <c r="D27" s="311"/>
      <c r="E27" s="299"/>
      <c r="F27" s="165" t="s">
        <v>56</v>
      </c>
      <c r="G27" s="25"/>
    </row>
    <row r="28" spans="1:7" ht="19.350000000000001" customHeight="1">
      <c r="A28" s="301"/>
      <c r="B28" s="314"/>
      <c r="C28" s="308"/>
      <c r="D28" s="311"/>
      <c r="E28" s="299"/>
      <c r="F28" s="165" t="s">
        <v>57</v>
      </c>
      <c r="G28" s="25"/>
    </row>
    <row r="29" spans="1:7" ht="74.45" customHeight="1">
      <c r="A29" s="301"/>
      <c r="B29" s="314"/>
      <c r="C29" s="308"/>
      <c r="D29" s="311"/>
      <c r="E29" s="299"/>
      <c r="F29" s="165" t="s">
        <v>58</v>
      </c>
      <c r="G29" s="25"/>
    </row>
    <row r="30" spans="1:7" ht="62.45" customHeight="1">
      <c r="A30" s="301"/>
      <c r="B30" s="314"/>
      <c r="C30" s="308"/>
      <c r="D30" s="311"/>
      <c r="E30" s="299"/>
      <c r="F30" s="165" t="s">
        <v>59</v>
      </c>
      <c r="G30" s="25"/>
    </row>
    <row r="31" spans="1:7" ht="81" customHeight="1">
      <c r="A31" s="301"/>
      <c r="B31" s="314"/>
      <c r="C31" s="308"/>
      <c r="D31" s="311"/>
      <c r="E31" s="299"/>
      <c r="F31" s="165" t="s">
        <v>60</v>
      </c>
      <c r="G31" s="25"/>
    </row>
    <row r="32" spans="1:7" ht="48.75" customHeight="1">
      <c r="A32" s="301"/>
      <c r="B32" s="314"/>
      <c r="C32" s="308"/>
      <c r="D32" s="311"/>
      <c r="E32" s="299"/>
      <c r="F32" s="165" t="s">
        <v>63</v>
      </c>
      <c r="G32" s="25"/>
    </row>
    <row r="33" spans="1:7" ht="98.45" customHeight="1">
      <c r="A33" s="301"/>
      <c r="B33" s="314"/>
      <c r="C33" s="308"/>
      <c r="D33" s="311"/>
      <c r="E33" s="299"/>
      <c r="F33" s="165" t="s">
        <v>62</v>
      </c>
      <c r="G33" s="25"/>
    </row>
    <row r="34" spans="1:7" ht="89.1" customHeight="1">
      <c r="A34" s="301"/>
      <c r="B34" s="314"/>
      <c r="C34" s="308"/>
      <c r="D34" s="311"/>
      <c r="E34" s="299"/>
      <c r="F34" s="165" t="s">
        <v>64</v>
      </c>
      <c r="G34" s="25"/>
    </row>
    <row r="35" spans="1:7" ht="29.1" customHeight="1">
      <c r="A35" s="301"/>
      <c r="B35" s="314"/>
      <c r="C35" s="308"/>
      <c r="D35" s="311"/>
      <c r="E35" s="299"/>
      <c r="F35" s="165" t="s">
        <v>65</v>
      </c>
      <c r="G35" s="25"/>
    </row>
    <row r="36" spans="1:7" ht="126.75">
      <c r="A36" s="301"/>
      <c r="B36" s="315"/>
      <c r="C36" s="309"/>
      <c r="D36" s="312"/>
      <c r="E36" s="300"/>
      <c r="F36" s="166" t="s">
        <v>66</v>
      </c>
      <c r="G36" s="25"/>
    </row>
    <row r="37" spans="1:7" ht="112.5">
      <c r="A37" s="301"/>
      <c r="B37" s="141">
        <v>3.01</v>
      </c>
      <c r="C37" s="142" t="s">
        <v>67</v>
      </c>
      <c r="D37" s="28" t="s">
        <v>2234</v>
      </c>
      <c r="E37" s="167" t="s">
        <v>1316</v>
      </c>
      <c r="F37" s="168" t="s">
        <v>1420</v>
      </c>
      <c r="G37" s="25"/>
    </row>
    <row r="38" spans="1:7" ht="101.25">
      <c r="A38" s="301"/>
      <c r="B38" s="141">
        <v>3.02</v>
      </c>
      <c r="C38" s="142" t="s">
        <v>1349</v>
      </c>
      <c r="D38" s="28" t="s">
        <v>2235</v>
      </c>
      <c r="E38" s="167" t="s">
        <v>1364</v>
      </c>
      <c r="F38" s="168" t="s">
        <v>1421</v>
      </c>
      <c r="G38" s="25"/>
    </row>
    <row r="39" spans="1:7" ht="101.25">
      <c r="A39" s="301"/>
      <c r="B39" s="150">
        <v>4</v>
      </c>
      <c r="C39" s="149" t="s">
        <v>1517</v>
      </c>
      <c r="D39" s="28" t="s">
        <v>2236</v>
      </c>
      <c r="E39" s="27" t="s">
        <v>2182</v>
      </c>
      <c r="F39" s="27" t="s">
        <v>1518</v>
      </c>
      <c r="G39" s="25"/>
    </row>
    <row r="40" spans="1:7" ht="56.25">
      <c r="A40" s="301"/>
      <c r="B40" s="141">
        <v>4.01</v>
      </c>
      <c r="C40" s="149" t="s">
        <v>1517</v>
      </c>
      <c r="D40" s="28" t="s">
        <v>2238</v>
      </c>
      <c r="E40" s="27" t="s">
        <v>2194</v>
      </c>
      <c r="F40" s="27" t="s">
        <v>2198</v>
      </c>
      <c r="G40" s="25"/>
    </row>
    <row r="41" spans="1:7" ht="56.25">
      <c r="A41" s="301"/>
      <c r="B41" s="141" t="s">
        <v>2225</v>
      </c>
      <c r="C41" s="149" t="s">
        <v>1517</v>
      </c>
      <c r="D41" s="28" t="s">
        <v>2237</v>
      </c>
      <c r="E41" s="27" t="s">
        <v>2228</v>
      </c>
      <c r="F41" s="27" t="s">
        <v>2226</v>
      </c>
      <c r="G41" s="25"/>
    </row>
    <row r="42" spans="1:7" ht="56.25">
      <c r="A42" s="301"/>
      <c r="B42" s="141" t="s">
        <v>2259</v>
      </c>
      <c r="C42" s="149" t="s">
        <v>1517</v>
      </c>
      <c r="D42" s="28" t="s">
        <v>2264</v>
      </c>
      <c r="E42" s="27" t="s">
        <v>2227</v>
      </c>
      <c r="F42" s="27" t="s">
        <v>2260</v>
      </c>
      <c r="G42" s="25"/>
    </row>
    <row r="43" spans="1:7" ht="123.75">
      <c r="A43" s="301"/>
      <c r="B43" s="160">
        <v>4.0999999999999996</v>
      </c>
      <c r="C43" s="149" t="s">
        <v>2263</v>
      </c>
      <c r="D43" s="161">
        <v>42867</v>
      </c>
      <c r="E43" s="169" t="s">
        <v>2266</v>
      </c>
      <c r="F43" s="27" t="s">
        <v>2265</v>
      </c>
      <c r="G43" s="25"/>
    </row>
    <row r="44" spans="1:7" ht="78.75">
      <c r="A44" s="301"/>
      <c r="B44" s="160">
        <v>4.2</v>
      </c>
      <c r="C44" s="149" t="s">
        <v>2263</v>
      </c>
      <c r="D44" s="161">
        <v>42704</v>
      </c>
      <c r="E44" s="169" t="s">
        <v>2462</v>
      </c>
      <c r="F44" s="27" t="s">
        <v>2437</v>
      </c>
      <c r="G44" s="25"/>
    </row>
    <row r="45" spans="1:7" ht="157.5">
      <c r="A45" s="301"/>
      <c r="B45" s="202">
        <v>5</v>
      </c>
      <c r="C45" s="149" t="s">
        <v>2263</v>
      </c>
      <c r="D45" s="161">
        <v>42867</v>
      </c>
      <c r="E45" s="169" t="s">
        <v>12683</v>
      </c>
      <c r="F45" s="27" t="s">
        <v>12405</v>
      </c>
      <c r="G45" s="25"/>
    </row>
    <row r="46" spans="1:7" ht="45">
      <c r="A46" s="301"/>
      <c r="B46" s="160">
        <v>5.01</v>
      </c>
      <c r="C46" s="149" t="s">
        <v>2263</v>
      </c>
      <c r="D46" s="161">
        <v>42907</v>
      </c>
      <c r="E46" s="169" t="s">
        <v>15484</v>
      </c>
      <c r="F46" s="27" t="s">
        <v>12405</v>
      </c>
      <c r="G46" s="25"/>
    </row>
    <row r="47" spans="1:7" ht="67.5">
      <c r="A47" s="301"/>
      <c r="B47" s="160">
        <v>5.0999999999999996</v>
      </c>
      <c r="C47" s="149" t="s">
        <v>2263</v>
      </c>
      <c r="D47" s="161">
        <v>43070</v>
      </c>
      <c r="E47" s="169" t="s">
        <v>12893</v>
      </c>
      <c r="F47" s="27" t="s">
        <v>12894</v>
      </c>
      <c r="G47" s="25"/>
    </row>
    <row r="48" spans="1:7" ht="56.25">
      <c r="A48" s="301"/>
      <c r="B48" s="160">
        <v>5.1100000000000003</v>
      </c>
      <c r="C48" s="149" t="s">
        <v>13129</v>
      </c>
      <c r="D48" s="161">
        <v>43217</v>
      </c>
      <c r="E48" s="169" t="s">
        <v>13255</v>
      </c>
      <c r="F48" s="27" t="s">
        <v>13163</v>
      </c>
      <c r="G48" s="25"/>
    </row>
    <row r="49" spans="1:7" ht="56.25">
      <c r="A49" s="301"/>
      <c r="B49" s="160">
        <v>5.12</v>
      </c>
      <c r="C49" s="149" t="s">
        <v>13129</v>
      </c>
      <c r="D49" s="161">
        <v>43581</v>
      </c>
      <c r="E49" s="169" t="s">
        <v>13255</v>
      </c>
      <c r="F49" s="27" t="s">
        <v>13807</v>
      </c>
      <c r="G49" s="25"/>
    </row>
    <row r="50" spans="1:7" ht="78.75">
      <c r="A50" s="301"/>
      <c r="B50" s="202">
        <v>6</v>
      </c>
      <c r="C50" s="149" t="s">
        <v>13129</v>
      </c>
      <c r="D50" s="161">
        <v>43964</v>
      </c>
      <c r="E50" s="169" t="s">
        <v>14020</v>
      </c>
      <c r="F50" s="27" t="s">
        <v>13810</v>
      </c>
      <c r="G50" s="25"/>
    </row>
    <row r="51" spans="1:7" ht="45">
      <c r="A51" s="301"/>
      <c r="B51" s="160">
        <v>6.01</v>
      </c>
      <c r="C51" s="149" t="s">
        <v>13129</v>
      </c>
      <c r="D51" s="161">
        <v>43970</v>
      </c>
      <c r="E51" s="169" t="s">
        <v>15485</v>
      </c>
      <c r="F51" s="169" t="s">
        <v>13810</v>
      </c>
      <c r="G51" s="25"/>
    </row>
    <row r="52" spans="1:7" ht="45">
      <c r="A52" s="301"/>
      <c r="B52" s="160">
        <v>6.1</v>
      </c>
      <c r="C52" s="149" t="s">
        <v>13129</v>
      </c>
      <c r="D52" s="161">
        <v>44314</v>
      </c>
      <c r="E52" s="169" t="s">
        <v>15477</v>
      </c>
      <c r="F52" s="169" t="s">
        <v>15015</v>
      </c>
      <c r="G52" s="25"/>
    </row>
    <row r="53" spans="1:7" ht="45">
      <c r="A53" s="301"/>
      <c r="B53" s="160">
        <v>6.2</v>
      </c>
      <c r="C53" s="149" t="s">
        <v>13129</v>
      </c>
      <c r="D53" s="161">
        <v>44678</v>
      </c>
      <c r="E53" s="169" t="s">
        <v>15477</v>
      </c>
      <c r="F53" s="169" t="s">
        <v>15476</v>
      </c>
      <c r="G53" s="25"/>
    </row>
    <row r="54" spans="1:7" ht="45">
      <c r="A54" s="301"/>
      <c r="B54" s="160">
        <v>6.21</v>
      </c>
      <c r="C54" s="149" t="s">
        <v>13129</v>
      </c>
      <c r="D54" s="161">
        <v>44687</v>
      </c>
      <c r="E54" s="169" t="s">
        <v>15486</v>
      </c>
      <c r="F54" s="169" t="s">
        <v>15476</v>
      </c>
      <c r="G54" s="25"/>
    </row>
    <row r="55" spans="1:7" ht="45">
      <c r="A55" s="301"/>
      <c r="B55" s="160">
        <v>6.22</v>
      </c>
      <c r="C55" s="149" t="s">
        <v>13129</v>
      </c>
      <c r="D55" s="274">
        <v>44692</v>
      </c>
      <c r="E55" s="169" t="s">
        <v>15485</v>
      </c>
      <c r="F55" s="169" t="s">
        <v>15476</v>
      </c>
      <c r="G55" s="25"/>
    </row>
    <row r="56" spans="1:7" ht="56.25">
      <c r="A56" s="301"/>
      <c r="B56" s="202">
        <v>6.3</v>
      </c>
      <c r="C56" s="149" t="s">
        <v>13129</v>
      </c>
      <c r="D56" s="274">
        <v>45051</v>
      </c>
      <c r="E56" s="169" t="s">
        <v>15753</v>
      </c>
      <c r="F56" s="169" t="s">
        <v>15534</v>
      </c>
      <c r="G56" s="25"/>
    </row>
    <row r="57" spans="1:7" ht="45">
      <c r="A57" s="301"/>
      <c r="B57" s="160">
        <v>6.31</v>
      </c>
      <c r="C57" s="149" t="s">
        <v>13129</v>
      </c>
      <c r="D57" s="274">
        <v>45072</v>
      </c>
      <c r="E57" s="169" t="s">
        <v>15755</v>
      </c>
      <c r="F57" s="169" t="s">
        <v>15534</v>
      </c>
      <c r="G57" s="25"/>
    </row>
    <row r="58" spans="1:7" ht="44.45" customHeight="1">
      <c r="A58" s="301"/>
      <c r="B58" s="202">
        <v>6.4</v>
      </c>
      <c r="C58" s="149" t="s">
        <v>13129</v>
      </c>
      <c r="D58" s="274">
        <v>45408</v>
      </c>
      <c r="E58" s="169" t="s">
        <v>15757</v>
      </c>
      <c r="F58" s="169" t="s">
        <v>15756</v>
      </c>
      <c r="G58" s="25"/>
    </row>
    <row r="59" spans="1:7" ht="13.5" thickBot="1">
      <c r="A59" s="302"/>
      <c r="B59" s="303" t="str">
        <f ca="1">OFFSET(L!$C$1,MATCH("General"&amp;"Cpy",L!$A:$A,0)-1,SL,,)</f>
        <v>© 2024 Responsible Minerals Initiative. All rights reserved.</v>
      </c>
      <c r="C59" s="303"/>
      <c r="D59" s="303"/>
      <c r="E59" s="303"/>
      <c r="F59" s="303"/>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3.95"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3.5" thickBot="1">
      <c r="A33" s="75"/>
      <c r="B33" s="153"/>
      <c r="C33" s="153"/>
      <c r="D33" s="321"/>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79" sqref="D79:E7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35"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6"/>
      <c r="G3" s="356"/>
      <c r="H3" s="356"/>
      <c r="I3" s="152"/>
      <c r="J3" s="138" t="s">
        <v>15760</v>
      </c>
      <c r="K3" s="36"/>
      <c r="L3" s="100"/>
      <c r="P3" s="45">
        <f>MATCH($D$3,LN,0)</f>
        <v>1</v>
      </c>
    </row>
    <row r="4" spans="1:34" ht="15.7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6" t="s">
        <v>15877</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8" t="s">
        <v>490</v>
      </c>
      <c r="E9" s="359"/>
      <c r="F9" s="359"/>
      <c r="G9" s="36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2" t="str">
        <f ca="1">OFFSET(L!$C$1,MATCH("Declaration"&amp;ADDRESS(ROW(),COLUMN(),4)&amp;LEFT($D$9,1),L!$A:$A,0)-1,SL,,)</f>
        <v>Description of Scope:</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5.75">
      <c r="A11" s="38"/>
      <c r="B11" s="363"/>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t="s">
        <v>15856</v>
      </c>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t="s">
        <v>15878</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15879</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4" t="s">
        <v>15880</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15881</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2" t="s">
        <v>15883</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15884</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4" t="s">
        <v>15885</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2"/>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7" t="s">
        <v>15882</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5" t="s">
        <v>484</v>
      </c>
      <c r="E26" s="326"/>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5" t="s">
        <v>484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484</v>
      </c>
      <c r="E28" s="326"/>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5" t="s">
        <v>484</v>
      </c>
      <c r="E29" s="326"/>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1" t="s">
        <v>484</v>
      </c>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5" t="s">
        <v>484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484</v>
      </c>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5" t="s">
        <v>484</v>
      </c>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5" t="s">
        <v>484</v>
      </c>
      <c r="E38" s="326"/>
      <c r="F38" s="47"/>
      <c r="G38" s="333"/>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5" t="s">
        <v>484</v>
      </c>
      <c r="E39" s="326"/>
      <c r="F39" s="47"/>
      <c r="G39" s="333"/>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484</v>
      </c>
      <c r="E40" s="326"/>
      <c r="F40" s="47"/>
      <c r="G40" s="333"/>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5" t="s">
        <v>484</v>
      </c>
      <c r="E41" s="326"/>
      <c r="F41" s="47"/>
      <c r="G41" s="333"/>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484</v>
      </c>
      <c r="E44" s="326"/>
      <c r="F44" s="47"/>
      <c r="G44" s="333"/>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484</v>
      </c>
      <c r="E45" s="326"/>
      <c r="F45" s="47"/>
      <c r="G45" s="333"/>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484</v>
      </c>
      <c r="E46" s="326"/>
      <c r="F46" s="47"/>
      <c r="G46" s="333"/>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484</v>
      </c>
      <c r="E47" s="326"/>
      <c r="F47" s="47"/>
      <c r="G47" s="333"/>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5" t="s">
        <v>485</v>
      </c>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5" t="s">
        <v>485</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485</v>
      </c>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5" t="s">
        <v>485</v>
      </c>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7" t="s">
        <v>15887</v>
      </c>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7" t="s">
        <v>15887</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7" t="s">
        <v>15887</v>
      </c>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7" t="s">
        <v>15887</v>
      </c>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1" t="s">
        <v>484</v>
      </c>
      <c r="E62" s="332"/>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5" t="s">
        <v>484</v>
      </c>
      <c r="E63" s="326"/>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5" t="s">
        <v>484</v>
      </c>
      <c r="E64" s="326"/>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5" t="s">
        <v>484</v>
      </c>
      <c r="E65" s="326"/>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5" t="s">
        <v>484</v>
      </c>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5" t="s">
        <v>484</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484</v>
      </c>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5" t="s">
        <v>484</v>
      </c>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484</v>
      </c>
      <c r="E75" s="326"/>
      <c r="F75" s="57"/>
      <c r="G75" s="333"/>
      <c r="H75" s="334"/>
      <c r="I75" s="334"/>
      <c r="J75" s="335"/>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37" t="s">
        <v>15886</v>
      </c>
      <c r="H77" s="338"/>
      <c r="I77" s="338"/>
      <c r="J77" s="339"/>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33"/>
      <c r="H79" s="334"/>
      <c r="I79" s="334"/>
      <c r="J79" s="335"/>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33"/>
      <c r="H81" s="334"/>
      <c r="I81" s="334"/>
      <c r="J81" s="335"/>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33"/>
      <c r="H83" s="334"/>
      <c r="I83" s="334"/>
      <c r="J83" s="335"/>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484</v>
      </c>
      <c r="E85" s="379"/>
      <c r="F85" s="57"/>
      <c r="G85" s="333"/>
      <c r="H85" s="334"/>
      <c r="I85" s="334"/>
      <c r="J85" s="335"/>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484</v>
      </c>
      <c r="E87" s="326"/>
      <c r="F87" s="57"/>
      <c r="G87" s="333"/>
      <c r="H87" s="334"/>
      <c r="I87" s="334"/>
      <c r="J87" s="335"/>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13949</v>
      </c>
      <c r="E89" s="326"/>
      <c r="F89" s="57"/>
      <c r="G89" s="333"/>
      <c r="H89" s="334"/>
      <c r="I89" s="334"/>
      <c r="J89" s="335"/>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5.75" thickBot="1">
      <c r="A91" s="375" t="str">
        <f ca="1">OFFSET(L!$C$1,MATCH("General"&amp;"Cpy",L!$A:$A,0)-1,SL,,)</f>
        <v>© 2024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75" hidden="1">
      <c r="B98" s="56" t="s">
        <v>486</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2463</v>
      </c>
      <c r="D100" s="281" t="str">
        <f>IF(AND(OR($D$27="Yes",$D$27=""),OR($D$33="Yes",$D$33="")),"No","")</f>
        <v>No</v>
      </c>
      <c r="E100" s="281" t="str">
        <f>IF(AND(OR($D$26="Yes",$D$26=""),OR($D$32="Yes",$D$32="")),"50% or less","")</f>
        <v>50% or less</v>
      </c>
      <c r="G100" s="281" t="str">
        <f>IF(OR($D$28="Yes",$D$28=""),"Yes","")</f>
        <v>Yes</v>
      </c>
    </row>
    <row r="101" spans="2:7" ht="15.75" hidden="1">
      <c r="B101" s="236" t="s">
        <v>2464</v>
      </c>
      <c r="D101" s="281" t="str">
        <f>IF(AND(OR($D$27="Yes",$D$27=""),OR($D$33="Yes",$D$33="")),"Unknown","")</f>
        <v>Unknown</v>
      </c>
      <c r="E101" s="281" t="str">
        <f>IF(AND(OR($D$26="Yes",$D$26=""),OR($D$32="Yes",$D$32="")),"None","")</f>
        <v>None</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022BE29F-A625-4110-B5B1-1F7CE50F8EE0}"/>
    <hyperlink ref="G77" r:id="rId4" xr:uid="{FC4B3551-207F-4D5B-8726-56328875698D}"/>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350"/>
  <sheetViews>
    <sheetView showGridLines="0" showZeros="0" topLeftCell="A75" zoomScaleNormal="100" zoomScalePageLayoutView="55" workbookViewId="0">
      <selection activeCell="C80" sqref="C8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38.25">
      <c r="A5" s="181" t="s">
        <v>1801</v>
      </c>
      <c r="B5" s="182" t="s">
        <v>1120</v>
      </c>
      <c r="C5" s="186" t="s">
        <v>15496</v>
      </c>
      <c r="D5" s="230"/>
      <c r="E5" s="182" t="s">
        <v>1085</v>
      </c>
      <c r="F5" s="182" t="s">
        <v>1801</v>
      </c>
      <c r="G5" s="182" t="s">
        <v>13217</v>
      </c>
      <c r="H5" s="183">
        <v>0</v>
      </c>
      <c r="I5" s="184" t="s">
        <v>1802</v>
      </c>
      <c r="J5" s="184" t="s">
        <v>3135</v>
      </c>
      <c r="K5" s="224"/>
      <c r="L5" s="224"/>
      <c r="M5" s="224"/>
      <c r="N5" s="224"/>
      <c r="O5" s="224" t="s">
        <v>15858</v>
      </c>
      <c r="P5" s="185" t="s">
        <v>485</v>
      </c>
      <c r="Q5" s="225" t="s">
        <v>15859</v>
      </c>
      <c r="R5" s="182" t="str">
        <f ca="1">IF(ISERROR($V5),"",OFFSET('Smelter Look-up'!$C$4,$V5-4,0)&amp;"")</f>
        <v>Aurubis Beerse</v>
      </c>
      <c r="S5" s="181" t="str">
        <f t="shared" ref="S5:S6" ca="1" si="0">IF(B5="","",IF(ISERROR(MATCH($E5,CL,0)),"Unknown",INDIRECT("'C'!$A$"&amp;MATCH($E5,CL,0)+1)))</f>
        <v>BE</v>
      </c>
      <c r="T5" s="181" t="str">
        <f ca="1">IF(B5="","",IF(ISERROR(MATCH($J5,SorP!$B$1:$B$6226,0)),"",INDIRECT("'SorP'!$A$"&amp;MATCH($S5&amp;$J5,SorP!C:C,0))))</f>
        <v>BE-VAN</v>
      </c>
      <c r="U5" s="201"/>
      <c r="V5" s="226">
        <f>IF(C5="",NA(),IF(OR(C5="Smelter not listed",C5="Smelter not yet identified"),MATCH($B5&amp;$D5,'Smelter Look-up'!$J:$J,0),MATCH($B5&amp;$C5,'Smelter Look-up'!$J:$J,0)))</f>
        <v>405</v>
      </c>
      <c r="X5" s="227">
        <f t="shared" ref="X5:X6" si="1">IF(AND(C5="Smelter not listed",OR(LEN(D5)=0,LEN(E5)=0)),1,0)</f>
        <v>0</v>
      </c>
      <c r="AB5" s="228" t="str">
        <f t="shared" ref="AB5:AB6" si="2">B5&amp;C5</f>
        <v>TinAurubis Beerse</v>
      </c>
    </row>
    <row r="6" spans="1:34" s="227" customFormat="1" ht="38.25">
      <c r="A6" s="181" t="s">
        <v>2423</v>
      </c>
      <c r="B6" s="182" t="s">
        <v>1119</v>
      </c>
      <c r="C6" s="186" t="s">
        <v>2422</v>
      </c>
      <c r="D6" s="230"/>
      <c r="E6" s="182" t="s">
        <v>1081</v>
      </c>
      <c r="F6" s="182" t="s">
        <v>2423</v>
      </c>
      <c r="G6" s="182" t="s">
        <v>13217</v>
      </c>
      <c r="H6" s="183">
        <v>0</v>
      </c>
      <c r="I6" s="184" t="s">
        <v>2433</v>
      </c>
      <c r="J6" s="184" t="s">
        <v>2433</v>
      </c>
      <c r="K6" s="224"/>
      <c r="L6" s="224"/>
      <c r="M6" s="224"/>
      <c r="N6" s="224"/>
      <c r="O6" s="224" t="s">
        <v>15860</v>
      </c>
      <c r="P6" s="185" t="s">
        <v>485</v>
      </c>
      <c r="Q6" s="225" t="s">
        <v>15861</v>
      </c>
      <c r="R6" s="182" t="str">
        <f ca="1">IF(ISERROR($V6),"",OFFSET('Smelter Look-up'!$C$4,$V6-4,0)&amp;"")</f>
        <v>L'Orfebre S.A.</v>
      </c>
      <c r="S6" s="181" t="str">
        <f t="shared" ca="1" si="0"/>
        <v>AD</v>
      </c>
      <c r="T6" s="181" t="str">
        <f ca="1">IF(B6="","",IF(ISERROR(MATCH($J6,SorP!$B$1:$B$6226,0)),"",INDIRECT("'SorP'!$A$"&amp;MATCH($S6&amp;$J6,SorP!C:C,0))))</f>
        <v>AD-07</v>
      </c>
      <c r="U6" s="201"/>
      <c r="V6" s="226">
        <f>IF(C6="",NA(),IF(OR(C6="Smelter not listed",C6="Smelter not yet identified"),MATCH($B6&amp;$D6,'Smelter Look-up'!$J:$J,0),MATCH($B6&amp;$C6,'Smelter Look-up'!$J:$J,0)))</f>
        <v>167</v>
      </c>
      <c r="X6" s="227">
        <f t="shared" si="1"/>
        <v>0</v>
      </c>
      <c r="AB6" s="228" t="str">
        <f t="shared" si="2"/>
        <v>GoldL'Orfebre S.A.</v>
      </c>
    </row>
    <row r="7" spans="1:34" s="227" customFormat="1" ht="63.75">
      <c r="A7" s="181" t="s">
        <v>1825</v>
      </c>
      <c r="B7" s="182" t="s">
        <v>1122</v>
      </c>
      <c r="C7" s="186" t="s">
        <v>1824</v>
      </c>
      <c r="D7" s="230"/>
      <c r="E7" s="182" t="s">
        <v>2415</v>
      </c>
      <c r="F7" s="182" t="s">
        <v>1825</v>
      </c>
      <c r="G7" s="182" t="s">
        <v>13217</v>
      </c>
      <c r="H7" s="183">
        <v>0</v>
      </c>
      <c r="I7" s="184" t="s">
        <v>1826</v>
      </c>
      <c r="J7" s="184" t="s">
        <v>1609</v>
      </c>
      <c r="K7" s="224"/>
      <c r="L7" s="224"/>
      <c r="M7" s="224"/>
      <c r="N7" s="224"/>
      <c r="O7" s="224" t="s">
        <v>486</v>
      </c>
      <c r="P7" s="185" t="s">
        <v>485</v>
      </c>
      <c r="Q7" s="225" t="s">
        <v>15862</v>
      </c>
      <c r="R7" s="182" t="str">
        <f ca="1">IF(ISERROR($V7),"",OFFSET('Smelter Look-up'!$C$4,$V7-4,0)&amp;"")</f>
        <v>Niagara Refining LLC</v>
      </c>
      <c r="S7" s="181" t="str">
        <f t="shared" ref="S7" ca="1" si="3">IF(B7="","",IF(ISERROR(MATCH($E7,CL,0)),"Unknown",INDIRECT("'C'!$A$"&amp;MATCH($E7,CL,0)+1)))</f>
        <v>US</v>
      </c>
      <c r="T7" s="181" t="str">
        <f ca="1">IF(B7="","",IF(ISERROR(MATCH($J7,SorP!$B$1:$B$6226,0)),"",INDIRECT("'SorP'!$A$"&amp;MATCH($S7&amp;$J7,SorP!C:C,0))))</f>
        <v>US-NY</v>
      </c>
      <c r="U7" s="201"/>
      <c r="V7" s="226">
        <f>IF(C7="",NA(),IF(OR(C7="Smelter not listed",C7="Smelter not yet identified"),MATCH($B7&amp;$D7,'Smelter Look-up'!$J:$J,0),MATCH($B7&amp;$C7,'Smelter Look-up'!$J:$J,0)))</f>
        <v>641</v>
      </c>
      <c r="X7" s="227">
        <f t="shared" ref="X7" si="4">IF(AND(C7="Smelter not listed",OR(LEN(D7)=0,LEN(E7)=0)),1,0)</f>
        <v>0</v>
      </c>
      <c r="AB7" s="228" t="str">
        <f t="shared" ref="AB7" si="5">B7&amp;C7</f>
        <v>TungstenNiagara Refining LLC</v>
      </c>
    </row>
    <row r="8" spans="1:34" s="227" customFormat="1" ht="76.5">
      <c r="A8" s="181" t="s">
        <v>1400</v>
      </c>
      <c r="B8" s="182" t="s">
        <v>1121</v>
      </c>
      <c r="C8" s="186" t="s">
        <v>1399</v>
      </c>
      <c r="D8" s="230"/>
      <c r="E8" s="182" t="s">
        <v>1098</v>
      </c>
      <c r="F8" s="182" t="s">
        <v>1400</v>
      </c>
      <c r="G8" s="182" t="s">
        <v>13217</v>
      </c>
      <c r="H8" s="183">
        <v>0</v>
      </c>
      <c r="I8" s="184" t="s">
        <v>1741</v>
      </c>
      <c r="J8" s="184" t="s">
        <v>1547</v>
      </c>
      <c r="K8" s="224"/>
      <c r="L8" s="224"/>
      <c r="M8" s="224"/>
      <c r="N8" s="224"/>
      <c r="O8" s="224" t="s">
        <v>15858</v>
      </c>
      <c r="P8" s="185" t="s">
        <v>485</v>
      </c>
      <c r="Q8" s="225" t="s">
        <v>15863</v>
      </c>
      <c r="R8" s="182" t="str">
        <f ca="1">IF(ISERROR($V8),"",OFFSET('Smelter Look-up'!$C$4,$V8-4,0)&amp;"")</f>
        <v>Global Advanced Metals Aizu</v>
      </c>
      <c r="S8" s="181" t="str">
        <f t="shared" ref="S8:S18" ca="1" si="6">IF(B8="","",IF(ISERROR(MATCH($E8,CL,0)),"Unknown",INDIRECT("'C'!$A$"&amp;MATCH($E8,CL,0)+1)))</f>
        <v>JP</v>
      </c>
      <c r="T8" s="181" t="str">
        <f ca="1">IF(B8="","",IF(ISERROR(MATCH($J8,SorP!$B$1:$B$6226,0)),"",INDIRECT("'SorP'!$A$"&amp;MATCH($S8&amp;$J8,SorP!C:C,0))))</f>
        <v>JP-07</v>
      </c>
      <c r="U8" s="201"/>
      <c r="V8" s="226">
        <f>IF(C8="",NA(),IF(OR(C8="Smelter not listed",C8="Smelter not yet identified"),MATCH($B8&amp;$D8,'Smelter Look-up'!$J:$J,0),MATCH($B8&amp;$C8,'Smelter Look-up'!$J:$J,0)))</f>
        <v>340</v>
      </c>
      <c r="X8" s="227">
        <f t="shared" ref="X8:X18" si="7">IF(AND(C8="Smelter not listed",OR(LEN(D8)=0,LEN(E8)=0)),1,0)</f>
        <v>0</v>
      </c>
      <c r="AB8" s="228" t="str">
        <f t="shared" ref="AB8:AB18" si="8">B8&amp;C8</f>
        <v>TantalumGlobal Advanced Metals Aizu</v>
      </c>
    </row>
    <row r="9" spans="1:34" s="227" customFormat="1" ht="89.25">
      <c r="A9" s="181" t="s">
        <v>1402</v>
      </c>
      <c r="B9" s="182" t="s">
        <v>1121</v>
      </c>
      <c r="C9" s="186" t="s">
        <v>1401</v>
      </c>
      <c r="D9" s="230"/>
      <c r="E9" s="182" t="s">
        <v>2415</v>
      </c>
      <c r="F9" s="182" t="s">
        <v>1402</v>
      </c>
      <c r="G9" s="182" t="s">
        <v>13217</v>
      </c>
      <c r="H9" s="183">
        <v>0</v>
      </c>
      <c r="I9" s="184" t="s">
        <v>1740</v>
      </c>
      <c r="J9" s="184" t="s">
        <v>1725</v>
      </c>
      <c r="K9" s="224"/>
      <c r="L9" s="224"/>
      <c r="M9" s="224"/>
      <c r="N9" s="224"/>
      <c r="O9" s="224" t="s">
        <v>15864</v>
      </c>
      <c r="P9" s="185" t="s">
        <v>485</v>
      </c>
      <c r="Q9" s="225" t="s">
        <v>15863</v>
      </c>
      <c r="R9" s="182" t="str">
        <f ca="1">IF(ISERROR($V9),"",OFFSET('Smelter Look-up'!$C$4,$V9-4,0)&amp;"")</f>
        <v>Global Advanced Metals Boyertown</v>
      </c>
      <c r="S9" s="181" t="str">
        <f t="shared" ca="1" si="6"/>
        <v>US</v>
      </c>
      <c r="T9" s="181" t="str">
        <f ca="1">IF(B9="","",IF(ISERROR(MATCH($J9,SorP!$B$1:$B$6226,0)),"",INDIRECT("'SorP'!$A$"&amp;MATCH($S9&amp;$J9,SorP!C:C,0))))</f>
        <v>US-PA</v>
      </c>
      <c r="U9" s="201"/>
      <c r="V9" s="226">
        <f>IF(C9="",NA(),IF(OR(C9="Smelter not listed",C9="Smelter not yet identified"),MATCH($B9&amp;$D9,'Smelter Look-up'!$J:$J,0),MATCH($B9&amp;$C9,'Smelter Look-up'!$J:$J,0)))</f>
        <v>341</v>
      </c>
      <c r="X9" s="227">
        <f t="shared" si="7"/>
        <v>0</v>
      </c>
      <c r="AB9" s="228" t="str">
        <f t="shared" si="8"/>
        <v>TantalumGlobal Advanced Metals Boyertown</v>
      </c>
    </row>
    <row r="10" spans="1:34" s="227" customFormat="1" ht="114.75">
      <c r="A10" s="181" t="s">
        <v>1417</v>
      </c>
      <c r="B10" s="182" t="s">
        <v>1122</v>
      </c>
      <c r="C10" s="186" t="s">
        <v>1416</v>
      </c>
      <c r="D10" s="230"/>
      <c r="E10" s="182" t="s">
        <v>1090</v>
      </c>
      <c r="F10" s="182" t="s">
        <v>1417</v>
      </c>
      <c r="G10" s="182" t="s">
        <v>13217</v>
      </c>
      <c r="H10" s="183">
        <v>0</v>
      </c>
      <c r="I10" s="184" t="s">
        <v>1759</v>
      </c>
      <c r="J10" s="184" t="s">
        <v>13596</v>
      </c>
      <c r="K10" s="224"/>
      <c r="L10" s="224"/>
      <c r="M10" s="224"/>
      <c r="N10" s="224"/>
      <c r="O10" s="224" t="s">
        <v>15855</v>
      </c>
      <c r="P10" s="185" t="s">
        <v>485</v>
      </c>
      <c r="Q10" s="225" t="s">
        <v>15862</v>
      </c>
      <c r="R10" s="182" t="str">
        <f ca="1">IF(ISERROR($V10),"",OFFSET('Smelter Look-up'!$C$4,$V10-4,0)&amp;"")</f>
        <v>Jiangwu H.C. Starck Tungsten Products Co., Ltd.</v>
      </c>
      <c r="S10" s="181" t="str">
        <f t="shared" ca="1" si="6"/>
        <v>CN</v>
      </c>
      <c r="T10" s="181" t="str">
        <f ca="1">IF(B10="","",IF(ISERROR(MATCH($J10,SorP!$B$1:$B$6226,0)),"",INDIRECT("'SorP'!$A$"&amp;MATCH($S10&amp;$J10,SorP!C:C,0))))</f>
        <v>CN-JX</v>
      </c>
      <c r="U10" s="201"/>
      <c r="V10" s="226">
        <f>IF(C10="",NA(),IF(OR(C10="Smelter not listed",C10="Smelter not yet identified"),MATCH($B10&amp;$D10,'Smelter Look-up'!$J:$J,0),MATCH($B10&amp;$C10,'Smelter Look-up'!$J:$J,0)))</f>
        <v>620</v>
      </c>
      <c r="X10" s="227">
        <f t="shared" si="7"/>
        <v>0</v>
      </c>
      <c r="AB10" s="228" t="str">
        <f t="shared" si="8"/>
        <v>TungstenJiangwu H.C. Starck Tungsten Products Co., Ltd.</v>
      </c>
    </row>
    <row r="11" spans="1:34" s="227" customFormat="1" ht="76.5">
      <c r="A11" s="181" t="s">
        <v>1410</v>
      </c>
      <c r="B11" s="182" t="s">
        <v>1121</v>
      </c>
      <c r="C11" s="186" t="s">
        <v>15050</v>
      </c>
      <c r="D11" s="230"/>
      <c r="E11" s="182" t="s">
        <v>1091</v>
      </c>
      <c r="F11" s="182" t="s">
        <v>1410</v>
      </c>
      <c r="G11" s="182" t="s">
        <v>13217</v>
      </c>
      <c r="H11" s="183">
        <v>0</v>
      </c>
      <c r="I11" s="184" t="s">
        <v>1737</v>
      </c>
      <c r="J11" s="184" t="s">
        <v>1536</v>
      </c>
      <c r="K11" s="224"/>
      <c r="L11" s="224"/>
      <c r="M11" s="224"/>
      <c r="N11" s="224"/>
      <c r="O11" s="224" t="s">
        <v>486</v>
      </c>
      <c r="P11" s="185" t="s">
        <v>485</v>
      </c>
      <c r="Q11" s="225" t="s">
        <v>15863</v>
      </c>
      <c r="R11" s="182" t="str">
        <f ca="1">IF(ISERROR($V11),"",OFFSET('Smelter Look-up'!$C$4,$V11-4,0)&amp;"")</f>
        <v>TANIOBIS Smelting GmbH &amp; Co. KG</v>
      </c>
      <c r="S11" s="181" t="str">
        <f t="shared" ca="1" si="6"/>
        <v>DE</v>
      </c>
      <c r="T11" s="181" t="str">
        <f ca="1">IF(B11="","",IF(ISERROR(MATCH($J11,SorP!$B$1:$B$6226,0)),"",INDIRECT("'SorP'!$A$"&amp;MATCH($S11&amp;$J11,SorP!C:C,0))))</f>
        <v>DE-BW</v>
      </c>
      <c r="U11" s="201"/>
      <c r="V11" s="226">
        <f>IF(C11="",NA(),IF(OR(C11="Smelter not listed",C11="Smelter not yet identified"),MATCH($B11&amp;$D11,'Smelter Look-up'!$J:$J,0),MATCH($B11&amp;$C11,'Smelter Look-up'!$J:$J,0)))</f>
        <v>387</v>
      </c>
      <c r="X11" s="227">
        <f t="shared" si="7"/>
        <v>0</v>
      </c>
      <c r="AB11" s="228" t="str">
        <f t="shared" si="8"/>
        <v>TantalumTANIOBIS Smelting GmbH &amp; Co. KG</v>
      </c>
    </row>
    <row r="12" spans="1:34" s="227" customFormat="1" ht="76.5">
      <c r="A12" s="181" t="s">
        <v>1409</v>
      </c>
      <c r="B12" s="182" t="s">
        <v>1121</v>
      </c>
      <c r="C12" s="186" t="s">
        <v>15049</v>
      </c>
      <c r="D12" s="230"/>
      <c r="E12" s="182" t="s">
        <v>1098</v>
      </c>
      <c r="F12" s="182" t="s">
        <v>1409</v>
      </c>
      <c r="G12" s="182" t="s">
        <v>13217</v>
      </c>
      <c r="H12" s="183">
        <v>0</v>
      </c>
      <c r="I12" s="184" t="s">
        <v>15803</v>
      </c>
      <c r="J12" s="184" t="s">
        <v>1739</v>
      </c>
      <c r="K12" s="224"/>
      <c r="L12" s="224"/>
      <c r="M12" s="224"/>
      <c r="N12" s="224"/>
      <c r="O12" s="224" t="s">
        <v>486</v>
      </c>
      <c r="P12" s="185" t="s">
        <v>485</v>
      </c>
      <c r="Q12" s="225" t="s">
        <v>15863</v>
      </c>
      <c r="R12" s="182" t="str">
        <f ca="1">IF(ISERROR($V12),"",OFFSET('Smelter Look-up'!$C$4,$V12-4,0)&amp;"")</f>
        <v>TANIOBIS Japan Co., Ltd.</v>
      </c>
      <c r="S12" s="181" t="str">
        <f t="shared" ca="1" si="6"/>
        <v>JP</v>
      </c>
      <c r="T12" s="181" t="str">
        <f ca="1">IF(B12="","",IF(ISERROR(MATCH($J12,SorP!$B$1:$B$6226,0)),"",INDIRECT("'SorP'!$A$"&amp;MATCH($S12&amp;$J12,SorP!C:C,0))))</f>
        <v>JP-08</v>
      </c>
      <c r="U12" s="201"/>
      <c r="V12" s="226">
        <f>IF(C12="",NA(),IF(OR(C12="Smelter not listed",C12="Smelter not yet identified"),MATCH($B12&amp;$D12,'Smelter Look-up'!$J:$J,0),MATCH($B12&amp;$C12,'Smelter Look-up'!$J:$J,0)))</f>
        <v>386</v>
      </c>
      <c r="X12" s="227">
        <f t="shared" si="7"/>
        <v>0</v>
      </c>
      <c r="AB12" s="228" t="str">
        <f t="shared" si="8"/>
        <v>TantalumTANIOBIS Japan Co., Ltd.</v>
      </c>
    </row>
    <row r="13" spans="1:34" s="227" customFormat="1" ht="63.75">
      <c r="A13" s="181" t="s">
        <v>1407</v>
      </c>
      <c r="B13" s="182" t="s">
        <v>1121</v>
      </c>
      <c r="C13" s="186" t="s">
        <v>15493</v>
      </c>
      <c r="D13" s="230"/>
      <c r="E13" s="182" t="s">
        <v>2415</v>
      </c>
      <c r="F13" s="182" t="s">
        <v>1407</v>
      </c>
      <c r="G13" s="182" t="s">
        <v>13217</v>
      </c>
      <c r="H13" s="183">
        <v>0</v>
      </c>
      <c r="I13" s="184" t="s">
        <v>1738</v>
      </c>
      <c r="J13" s="184" t="s">
        <v>1617</v>
      </c>
      <c r="K13" s="224"/>
      <c r="L13" s="224"/>
      <c r="M13" s="224"/>
      <c r="N13" s="224"/>
      <c r="O13" s="224" t="s">
        <v>15858</v>
      </c>
      <c r="P13" s="185" t="s">
        <v>485</v>
      </c>
      <c r="Q13" s="225" t="s">
        <v>15863</v>
      </c>
      <c r="R13" s="182" t="str">
        <f ca="1">IF(ISERROR($V13),"",OFFSET('Smelter Look-up'!$C$4,$V13-4,0)&amp;"")</f>
        <v>Materion Newton Inc.</v>
      </c>
      <c r="S13" s="181" t="str">
        <f t="shared" ca="1" si="6"/>
        <v>US</v>
      </c>
      <c r="T13" s="181" t="str">
        <f ca="1">IF(B13="","",IF(ISERROR(MATCH($J13,SorP!$B$1:$B$6226,0)),"",INDIRECT("'SorP'!$A$"&amp;MATCH($S13&amp;$J13,SorP!C:C,0))))</f>
        <v>US-MA</v>
      </c>
      <c r="U13" s="201"/>
      <c r="V13" s="226">
        <f>IF(C13="",NA(),IF(OR(C13="Smelter not listed",C13="Smelter not yet identified"),MATCH($B13&amp;$D13,'Smelter Look-up'!$J:$J,0),MATCH($B13&amp;$C13,'Smelter Look-up'!$J:$J,0)))</f>
        <v>359</v>
      </c>
      <c r="X13" s="227">
        <f t="shared" si="7"/>
        <v>0</v>
      </c>
      <c r="AB13" s="228" t="str">
        <f t="shared" si="8"/>
        <v>TantalumMaterion Newton Inc.</v>
      </c>
    </row>
    <row r="14" spans="1:34" s="227" customFormat="1" ht="51">
      <c r="A14" s="181" t="s">
        <v>1405</v>
      </c>
      <c r="B14" s="182" t="s">
        <v>1121</v>
      </c>
      <c r="C14" s="186" t="s">
        <v>15051</v>
      </c>
      <c r="D14" s="230"/>
      <c r="E14" s="182" t="s">
        <v>1091</v>
      </c>
      <c r="F14" s="182" t="s">
        <v>1405</v>
      </c>
      <c r="G14" s="182" t="s">
        <v>13217</v>
      </c>
      <c r="H14" s="183">
        <v>0</v>
      </c>
      <c r="I14" s="184" t="s">
        <v>1736</v>
      </c>
      <c r="J14" s="184" t="s">
        <v>4228</v>
      </c>
      <c r="K14" s="224"/>
      <c r="L14" s="224"/>
      <c r="M14" s="224"/>
      <c r="N14" s="224"/>
      <c r="O14" s="224" t="s">
        <v>15864</v>
      </c>
      <c r="P14" s="185" t="s">
        <v>485</v>
      </c>
      <c r="Q14" s="225" t="s">
        <v>15863</v>
      </c>
      <c r="R14" s="182" t="str">
        <f ca="1">IF(ISERROR($V14),"",OFFSET('Smelter Look-up'!$C$4,$V14-4,0)&amp;"")</f>
        <v>TANIOBIS GmbH</v>
      </c>
      <c r="S14" s="181" t="str">
        <f t="shared" ca="1" si="6"/>
        <v>DE</v>
      </c>
      <c r="T14" s="181" t="str">
        <f ca="1">IF(B14="","",IF(ISERROR(MATCH($J14,SorP!$B$1:$B$6226,0)),"",INDIRECT("'SorP'!$A$"&amp;MATCH($S14&amp;$J14,SorP!C:C,0))))</f>
        <v>DE-NI</v>
      </c>
      <c r="U14" s="201"/>
      <c r="V14" s="226">
        <f>IF(C14="",NA(),IF(OR(C14="Smelter not listed",C14="Smelter not yet identified"),MATCH($B14&amp;$D14,'Smelter Look-up'!$J:$J,0),MATCH($B14&amp;$C14,'Smelter Look-up'!$J:$J,0)))</f>
        <v>385</v>
      </c>
      <c r="X14" s="227">
        <f t="shared" si="7"/>
        <v>0</v>
      </c>
      <c r="AB14" s="228" t="str">
        <f t="shared" si="8"/>
        <v>TantalumTANIOBIS GmbH</v>
      </c>
    </row>
    <row r="15" spans="1:34" s="227" customFormat="1" ht="51">
      <c r="A15" s="181" t="s">
        <v>1404</v>
      </c>
      <c r="B15" s="182" t="s">
        <v>1121</v>
      </c>
      <c r="C15" s="186" t="s">
        <v>15048</v>
      </c>
      <c r="D15" s="230"/>
      <c r="E15" s="182" t="s">
        <v>878</v>
      </c>
      <c r="F15" s="182" t="s">
        <v>1404</v>
      </c>
      <c r="G15" s="182" t="s">
        <v>13217</v>
      </c>
      <c r="H15" s="183">
        <v>0</v>
      </c>
      <c r="I15" s="184" t="s">
        <v>1734</v>
      </c>
      <c r="J15" s="184" t="s">
        <v>1735</v>
      </c>
      <c r="K15" s="224"/>
      <c r="L15" s="224"/>
      <c r="M15" s="224"/>
      <c r="N15" s="224"/>
      <c r="O15" s="224" t="s">
        <v>15865</v>
      </c>
      <c r="P15" s="185" t="s">
        <v>485</v>
      </c>
      <c r="Q15" s="225" t="s">
        <v>15863</v>
      </c>
      <c r="R15" s="182" t="str">
        <f ca="1">IF(ISERROR($V15),"",OFFSET('Smelter Look-up'!$C$4,$V15-4,0)&amp;"")</f>
        <v>TANIOBIS Co., Ltd.</v>
      </c>
      <c r="S15" s="181" t="str">
        <f t="shared" ca="1" si="6"/>
        <v>TH</v>
      </c>
      <c r="T15" s="181" t="str">
        <f ca="1">IF(B15="","",IF(ISERROR(MATCH($J15,SorP!$B$1:$B$6226,0)),"",INDIRECT("'SorP'!$A$"&amp;MATCH($S15&amp;$J15,SorP!C:C,0))))</f>
        <v>TH-21</v>
      </c>
      <c r="U15" s="201"/>
      <c r="V15" s="226">
        <f>IF(C15="",NA(),IF(OR(C15="Smelter not listed",C15="Smelter not yet identified"),MATCH($B15&amp;$D15,'Smelter Look-up'!$J:$J,0),MATCH($B15&amp;$C15,'Smelter Look-up'!$J:$J,0)))</f>
        <v>384</v>
      </c>
      <c r="X15" s="227">
        <f t="shared" si="7"/>
        <v>0</v>
      </c>
      <c r="AB15" s="228" t="str">
        <f t="shared" si="8"/>
        <v>TantalumTANIOBIS Co., Ltd.</v>
      </c>
    </row>
    <row r="16" spans="1:34" s="227" customFormat="1" ht="76.5">
      <c r="A16" s="181" t="s">
        <v>1418</v>
      </c>
      <c r="B16" s="182" t="s">
        <v>1122</v>
      </c>
      <c r="C16" s="186" t="s">
        <v>15094</v>
      </c>
      <c r="D16" s="230"/>
      <c r="E16" s="182" t="s">
        <v>882</v>
      </c>
      <c r="F16" s="182" t="s">
        <v>1418</v>
      </c>
      <c r="G16" s="182" t="s">
        <v>13217</v>
      </c>
      <c r="H16" s="183">
        <v>0</v>
      </c>
      <c r="I16" s="184" t="s">
        <v>1823</v>
      </c>
      <c r="J16" s="184" t="s">
        <v>12112</v>
      </c>
      <c r="K16" s="224"/>
      <c r="L16" s="224"/>
      <c r="M16" s="224"/>
      <c r="N16" s="224"/>
      <c r="O16" s="224" t="s">
        <v>15865</v>
      </c>
      <c r="P16" s="185" t="s">
        <v>485</v>
      </c>
      <c r="Q16" s="225" t="s">
        <v>15862</v>
      </c>
      <c r="R16" s="182" t="str">
        <f ca="1">IF(ISERROR($V16),"",OFFSET('Smelter Look-up'!$C$4,$V16-4,0)&amp;"")</f>
        <v>Masan High-Tech Materials</v>
      </c>
      <c r="S16" s="181" t="str">
        <f t="shared" ca="1" si="6"/>
        <v>VN</v>
      </c>
      <c r="T16" s="181" t="str">
        <f ca="1">IF(B16="","",IF(ISERROR(MATCH($J16,SorP!$B$1:$B$6226,0)),"",INDIRECT("'SorP'!$A$"&amp;MATCH($S16&amp;$J16,SorP!C:C,0))))</f>
        <v>VN-69</v>
      </c>
      <c r="U16" s="201"/>
      <c r="V16" s="226">
        <f>IF(C16="",NA(),IF(OR(C16="Smelter not listed",C16="Smelter not yet identified"),MATCH($B16&amp;$D16,'Smelter Look-up'!$J:$J,0),MATCH($B16&amp;$C16,'Smelter Look-up'!$J:$J,0)))</f>
        <v>636</v>
      </c>
      <c r="X16" s="227">
        <f t="shared" si="7"/>
        <v>0</v>
      </c>
      <c r="AB16" s="228" t="str">
        <f t="shared" si="8"/>
        <v>TungstenMasan High-Tech Materials</v>
      </c>
    </row>
    <row r="17" spans="1:28" s="227" customFormat="1" ht="63.75">
      <c r="A17" s="181" t="s">
        <v>1414</v>
      </c>
      <c r="B17" s="182" t="s">
        <v>1122</v>
      </c>
      <c r="C17" s="186" t="s">
        <v>2518</v>
      </c>
      <c r="D17" s="230"/>
      <c r="E17" s="182" t="s">
        <v>1091</v>
      </c>
      <c r="F17" s="182" t="s">
        <v>1414</v>
      </c>
      <c r="G17" s="182" t="s">
        <v>13217</v>
      </c>
      <c r="H17" s="183">
        <v>0</v>
      </c>
      <c r="I17" s="184" t="s">
        <v>1736</v>
      </c>
      <c r="J17" s="184" t="s">
        <v>4228</v>
      </c>
      <c r="K17" s="224"/>
      <c r="L17" s="224"/>
      <c r="M17" s="224"/>
      <c r="N17" s="224"/>
      <c r="O17" s="224" t="s">
        <v>15858</v>
      </c>
      <c r="P17" s="185" t="s">
        <v>485</v>
      </c>
      <c r="Q17" s="225" t="s">
        <v>15862</v>
      </c>
      <c r="R17" s="182" t="str">
        <f ca="1">IF(ISERROR($V17),"",OFFSET('Smelter Look-up'!$C$4,$V17-4,0)&amp;"")</f>
        <v>H.C. Starck Tungsten GmbH</v>
      </c>
      <c r="S17" s="181" t="str">
        <f t="shared" ca="1" si="6"/>
        <v>DE</v>
      </c>
      <c r="T17" s="181" t="str">
        <f ca="1">IF(B17="","",IF(ISERROR(MATCH($J17,SorP!$B$1:$B$6226,0)),"",INDIRECT("'SorP'!$A$"&amp;MATCH($S17&amp;$J17,SorP!C:C,0))))</f>
        <v>DE-NI</v>
      </c>
      <c r="U17" s="201"/>
      <c r="V17" s="226">
        <f>IF(C17="",NA(),IF(OR(C17="Smelter not listed",C17="Smelter not yet identified"),MATCH($B17&amp;$D17,'Smelter Look-up'!$J:$J,0),MATCH($B17&amp;$C17,'Smelter Look-up'!$J:$J,0)))</f>
        <v>608</v>
      </c>
      <c r="X17" s="227">
        <f t="shared" si="7"/>
        <v>0</v>
      </c>
      <c r="AB17" s="228" t="str">
        <f t="shared" si="8"/>
        <v>TungstenH.C. Starck Tungsten GmbH</v>
      </c>
    </row>
    <row r="18" spans="1:28" s="227" customFormat="1" ht="204">
      <c r="A18" s="181" t="s">
        <v>1394</v>
      </c>
      <c r="B18" s="182" t="s">
        <v>1122</v>
      </c>
      <c r="C18" s="186" t="s">
        <v>15514</v>
      </c>
      <c r="D18" s="230"/>
      <c r="E18" s="182" t="s">
        <v>1090</v>
      </c>
      <c r="F18" s="182" t="s">
        <v>1394</v>
      </c>
      <c r="G18" s="182" t="s">
        <v>13217</v>
      </c>
      <c r="H18" s="183">
        <v>0</v>
      </c>
      <c r="I18" s="184" t="s">
        <v>1760</v>
      </c>
      <c r="J18" s="184" t="s">
        <v>13600</v>
      </c>
      <c r="K18" s="224"/>
      <c r="L18" s="224"/>
      <c r="M18" s="224"/>
      <c r="N18" s="224"/>
      <c r="O18" s="224" t="s">
        <v>15855</v>
      </c>
      <c r="P18" s="185" t="s">
        <v>485</v>
      </c>
      <c r="Q18" s="225" t="s">
        <v>15862</v>
      </c>
      <c r="R18" s="182" t="str">
        <f ca="1">IF(ISERROR($V18),"",OFFSET('Smelter Look-up'!$C$4,$V18-4,0)&amp;"")</f>
        <v>Hunan Shizhuyuan Nonferrous Metals Co., Ltd. Chenzhou Tungsten Products Branch</v>
      </c>
      <c r="S18" s="181" t="str">
        <f t="shared" ca="1" si="6"/>
        <v>CN</v>
      </c>
      <c r="T18" s="181" t="str">
        <f ca="1">IF(B18="","",IF(ISERROR(MATCH($J18,SorP!$B$1:$B$6226,0)),"",INDIRECT("'SorP'!$A$"&amp;MATCH($S18&amp;$J18,SorP!C:C,0))))</f>
        <v>CN-HN</v>
      </c>
      <c r="U18" s="201"/>
      <c r="V18" s="226">
        <f>IF(C18="",NA(),IF(OR(C18="Smelter not listed",C18="Smelter not yet identified"),MATCH($B18&amp;$D18,'Smelter Look-up'!$J:$J,0),MATCH($B18&amp;$C18,'Smelter Look-up'!$J:$J,0)))</f>
        <v>617</v>
      </c>
      <c r="X18" s="227">
        <f t="shared" si="7"/>
        <v>0</v>
      </c>
      <c r="AB18" s="228" t="str">
        <f t="shared" si="8"/>
        <v>TungstenHunan Shizhuyuan Nonferrous Metals Co., Ltd. Chenzhou Tungsten Products Branch</v>
      </c>
    </row>
    <row r="19" spans="1:28" s="227" customFormat="1" ht="89.25">
      <c r="A19" s="181" t="s">
        <v>389</v>
      </c>
      <c r="B19" s="182" t="s">
        <v>1122</v>
      </c>
      <c r="C19" s="186" t="s">
        <v>388</v>
      </c>
      <c r="D19" s="230"/>
      <c r="E19" s="182" t="s">
        <v>1090</v>
      </c>
      <c r="F19" s="182" t="s">
        <v>389</v>
      </c>
      <c r="G19" s="182" t="s">
        <v>13217</v>
      </c>
      <c r="H19" s="183">
        <v>0</v>
      </c>
      <c r="I19" s="184" t="s">
        <v>1759</v>
      </c>
      <c r="J19" s="184" t="s">
        <v>13596</v>
      </c>
      <c r="K19" s="224"/>
      <c r="L19" s="224"/>
      <c r="M19" s="224"/>
      <c r="N19" s="224"/>
      <c r="O19" s="224" t="s">
        <v>15855</v>
      </c>
      <c r="P19" s="185" t="s">
        <v>485</v>
      </c>
      <c r="Q19" s="225" t="s">
        <v>15862</v>
      </c>
      <c r="R19" s="182" t="str">
        <f ca="1">IF(ISERROR($V19),"",OFFSET('Smelter Look-up'!$C$4,$V19-4,0)&amp;"")</f>
        <v>Ganzhou Seadragon W &amp; Mo Co., Ltd.</v>
      </c>
      <c r="S19" s="181" t="str">
        <f t="shared" ref="S19" ca="1" si="9">IF(B19="","",IF(ISERROR(MATCH($E19,CL,0)),"Unknown",INDIRECT("'C'!$A$"&amp;MATCH($E19,CL,0)+1)))</f>
        <v>CN</v>
      </c>
      <c r="T19" s="181" t="str">
        <f ca="1">IF(B19="","",IF(ISERROR(MATCH($J19,SorP!$B$1:$B$6226,0)),"",INDIRECT("'SorP'!$A$"&amp;MATCH($S19&amp;$J19,SorP!C:C,0))))</f>
        <v>CN-JX</v>
      </c>
      <c r="U19" s="201"/>
      <c r="V19" s="226">
        <f>IF(C19="",NA(),IF(OR(C19="Smelter not listed",C19="Smelter not yet identified"),MATCH($B19&amp;$D19,'Smelter Look-up'!$J:$J,0),MATCH($B19&amp;$C19,'Smelter Look-up'!$J:$J,0)))</f>
        <v>602</v>
      </c>
      <c r="X19" s="227">
        <f t="shared" ref="X19" si="10">IF(AND(C19="Smelter not listed",OR(LEN(D19)=0,LEN(E19)=0)),1,0)</f>
        <v>0</v>
      </c>
      <c r="AB19" s="228" t="str">
        <f t="shared" ref="AB19" si="11">B19&amp;C19</f>
        <v>TungstenGanzhou Seadragon W &amp; Mo Co., Ltd.</v>
      </c>
    </row>
    <row r="20" spans="1:28" s="227" customFormat="1" ht="127.5">
      <c r="A20" s="181" t="s">
        <v>140</v>
      </c>
      <c r="B20" s="182" t="s">
        <v>1122</v>
      </c>
      <c r="C20" s="186" t="s">
        <v>150</v>
      </c>
      <c r="D20" s="230"/>
      <c r="E20" s="182" t="s">
        <v>1090</v>
      </c>
      <c r="F20" s="182" t="s">
        <v>140</v>
      </c>
      <c r="G20" s="182" t="s">
        <v>13217</v>
      </c>
      <c r="H20" s="183">
        <v>0</v>
      </c>
      <c r="I20" s="184" t="s">
        <v>1819</v>
      </c>
      <c r="J20" s="184" t="s">
        <v>13596</v>
      </c>
      <c r="K20" s="224"/>
      <c r="L20" s="224"/>
      <c r="M20" s="224"/>
      <c r="N20" s="224"/>
      <c r="O20" s="224" t="s">
        <v>486</v>
      </c>
      <c r="P20" s="185" t="s">
        <v>485</v>
      </c>
      <c r="Q20" s="225" t="s">
        <v>15862</v>
      </c>
      <c r="R20" s="182" t="str">
        <f ca="1">IF(ISERROR($V20),"",OFFSET('Smelter Look-up'!$C$4,$V20-4,0)&amp;"")</f>
        <v>Jiangxi Tonggu Non-ferrous Metallurgical &amp; Chemical Co., Ltd.</v>
      </c>
      <c r="S20" s="181" t="str">
        <f t="shared" ref="S20" ca="1" si="12">IF(B20="","",IF(ISERROR(MATCH($E20,CL,0)),"Unknown",INDIRECT("'C'!$A$"&amp;MATCH($E20,CL,0)+1)))</f>
        <v>CN</v>
      </c>
      <c r="T20" s="181" t="str">
        <f ca="1">IF(B20="","",IF(ISERROR(MATCH($J20,SorP!$B$1:$B$6226,0)),"",INDIRECT("'SorP'!$A$"&amp;MATCH($S20&amp;$J20,SorP!C:C,0))))</f>
        <v>CN-JX</v>
      </c>
      <c r="U20" s="201"/>
      <c r="V20" s="226">
        <f>IF(C20="",NA(),IF(OR(C20="Smelter not listed",C20="Smelter not yet identified"),MATCH($B20&amp;$D20,'Smelter Look-up'!$J:$J,0),MATCH($B20&amp;$C20,'Smelter Look-up'!$J:$J,0)))</f>
        <v>623</v>
      </c>
      <c r="X20" s="227">
        <f t="shared" ref="X20" si="13">IF(AND(C20="Smelter not listed",OR(LEN(D20)=0,LEN(E20)=0)),1,0)</f>
        <v>0</v>
      </c>
      <c r="AB20" s="228" t="str">
        <f t="shared" ref="AB20" si="14">B20&amp;C20</f>
        <v>TungstenJiangxi Tonggu Non-ferrous Metallurgical &amp; Chemical Co., Ltd.</v>
      </c>
    </row>
    <row r="21" spans="1:28" s="227" customFormat="1" ht="63.75">
      <c r="A21" s="181" t="s">
        <v>793</v>
      </c>
      <c r="B21" s="182" t="s">
        <v>1122</v>
      </c>
      <c r="C21" s="186" t="s">
        <v>1371</v>
      </c>
      <c r="D21" s="230"/>
      <c r="E21" s="182" t="s">
        <v>1090</v>
      </c>
      <c r="F21" s="182" t="s">
        <v>793</v>
      </c>
      <c r="G21" s="182" t="s">
        <v>15857</v>
      </c>
      <c r="H21" s="183">
        <v>0</v>
      </c>
      <c r="I21" s="184" t="s">
        <v>1817</v>
      </c>
      <c r="J21" s="184" t="s">
        <v>13595</v>
      </c>
      <c r="K21" s="224"/>
      <c r="L21" s="224"/>
      <c r="M21" s="224"/>
      <c r="N21" s="224"/>
      <c r="O21" s="224" t="s">
        <v>15866</v>
      </c>
      <c r="P21" s="185" t="s">
        <v>485</v>
      </c>
      <c r="Q21" s="225" t="s">
        <v>15862</v>
      </c>
      <c r="R21" s="182" t="str">
        <f ca="1">IF(ISERROR($V21),"",OFFSET('Smelter Look-up'!$C$4,$V21-4,0)&amp;"")</f>
        <v>Xiamen Tungsten Co., Ltd.</v>
      </c>
      <c r="S21" s="181" t="str">
        <f t="shared" ref="S21:S23" ca="1" si="15">IF(B21="","",IF(ISERROR(MATCH($E21,CL,0)),"Unknown",INDIRECT("'C'!$A$"&amp;MATCH($E21,CL,0)+1)))</f>
        <v>CN</v>
      </c>
      <c r="T21" s="181" t="str">
        <f ca="1">IF(B21="","",IF(ISERROR(MATCH($J21,SorP!$B$1:$B$6226,0)),"",INDIRECT("'SorP'!$A$"&amp;MATCH($S21&amp;$J21,SorP!C:C,0))))</f>
        <v>CN-FJ</v>
      </c>
      <c r="U21" s="201"/>
      <c r="V21" s="226">
        <f>IF(C21="",NA(),IF(OR(C21="Smelter not listed",C21="Smelter not yet identified"),MATCH($B21&amp;$D21,'Smelter Look-up'!$J:$J,0),MATCH($B21&amp;$C21,'Smelter Look-up'!$J:$J,0)))</f>
        <v>659</v>
      </c>
      <c r="X21" s="227">
        <f t="shared" ref="X21:X23" si="16">IF(AND(C21="Smelter not listed",OR(LEN(D21)=0,LEN(E21)=0)),1,0)</f>
        <v>0</v>
      </c>
      <c r="AB21" s="228" t="str">
        <f t="shared" ref="AB21:AB23" si="17">B21&amp;C21</f>
        <v>TungstenXiamen Tungsten Co., Ltd.</v>
      </c>
    </row>
    <row r="22" spans="1:28" s="227" customFormat="1" ht="102">
      <c r="A22" s="181" t="s">
        <v>735</v>
      </c>
      <c r="B22" s="182" t="s">
        <v>1119</v>
      </c>
      <c r="C22" s="186" t="s">
        <v>2471</v>
      </c>
      <c r="D22" s="230"/>
      <c r="E22" s="182" t="s">
        <v>1083</v>
      </c>
      <c r="F22" s="182" t="s">
        <v>735</v>
      </c>
      <c r="G22" s="182" t="s">
        <v>13217</v>
      </c>
      <c r="H22" s="183">
        <v>0</v>
      </c>
      <c r="I22" s="184" t="s">
        <v>1671</v>
      </c>
      <c r="J22" s="184" t="s">
        <v>1672</v>
      </c>
      <c r="K22" s="224"/>
      <c r="L22" s="224"/>
      <c r="M22" s="224"/>
      <c r="N22" s="224" t="s">
        <v>15867</v>
      </c>
      <c r="O22" s="224" t="s">
        <v>15868</v>
      </c>
      <c r="P22" s="185" t="s">
        <v>485</v>
      </c>
      <c r="Q22" s="225" t="s">
        <v>15861</v>
      </c>
      <c r="R22" s="182" t="str">
        <f ca="1">IF(ISERROR($V22),"",OFFSET('Smelter Look-up'!$C$4,$V22-4,0)&amp;"")</f>
        <v>Western Australian Mint (T/a The Perth Mint)</v>
      </c>
      <c r="S22" s="181" t="str">
        <f t="shared" ca="1" si="15"/>
        <v>AU</v>
      </c>
      <c r="T22" s="181" t="str">
        <f ca="1">IF(B22="","",IF(ISERROR(MATCH($J22,SorP!$B$1:$B$6226,0)),"",INDIRECT("'SorP'!$A$"&amp;MATCH($S22&amp;$J22,SorP!C:C,0))))</f>
        <v>AU-WA</v>
      </c>
      <c r="U22" s="201"/>
      <c r="V22" s="226">
        <f>IF(C22="",NA(),IF(OR(C22="Smelter not listed",C22="Smelter not yet identified"),MATCH($B22&amp;$D22,'Smelter Look-up'!$J:$J,0),MATCH($B22&amp;$C22,'Smelter Look-up'!$J:$J,0)))</f>
        <v>307</v>
      </c>
      <c r="X22" s="227">
        <f t="shared" si="16"/>
        <v>0</v>
      </c>
      <c r="AB22" s="228" t="str">
        <f t="shared" si="17"/>
        <v>GoldWestern Australian Mint (T/a The Perth Mint)</v>
      </c>
    </row>
    <row r="23" spans="1:28" s="227" customFormat="1" ht="76.5">
      <c r="A23" s="181" t="s">
        <v>733</v>
      </c>
      <c r="B23" s="182" t="s">
        <v>1119</v>
      </c>
      <c r="C23" s="186" t="s">
        <v>810</v>
      </c>
      <c r="D23" s="230"/>
      <c r="E23" s="182" t="s">
        <v>2415</v>
      </c>
      <c r="F23" s="182" t="s">
        <v>733</v>
      </c>
      <c r="G23" s="182" t="s">
        <v>13217</v>
      </c>
      <c r="H23" s="183">
        <v>0</v>
      </c>
      <c r="I23" s="184" t="s">
        <v>1669</v>
      </c>
      <c r="J23" s="184" t="s">
        <v>1609</v>
      </c>
      <c r="K23" s="224"/>
      <c r="L23" s="224"/>
      <c r="M23" s="224"/>
      <c r="N23" s="224" t="s">
        <v>15867</v>
      </c>
      <c r="O23" s="224" t="s">
        <v>15868</v>
      </c>
      <c r="P23" s="185" t="s">
        <v>485</v>
      </c>
      <c r="Q23" s="225" t="s">
        <v>15861</v>
      </c>
      <c r="R23" s="182" t="str">
        <f ca="1">IF(ISERROR($V23),"",OFFSET('Smelter Look-up'!$C$4,$V23-4,0)&amp;"")</f>
        <v>United Precious Metal Refining, Inc.</v>
      </c>
      <c r="S23" s="181" t="str">
        <f t="shared" ca="1" si="15"/>
        <v>US</v>
      </c>
      <c r="T23" s="181" t="str">
        <f ca="1">IF(B23="","",IF(ISERROR(MATCH($J23,SorP!$B$1:$B$6226,0)),"",INDIRECT("'SorP'!$A$"&amp;MATCH($S23&amp;$J23,SorP!C:C,0))))</f>
        <v>US-NY</v>
      </c>
      <c r="U23" s="201"/>
      <c r="V23" s="226">
        <f>IF(C23="",NA(),IF(OR(C23="Smelter not listed",C23="Smelter not yet identified"),MATCH($B23&amp;$D23,'Smelter Look-up'!$J:$J,0),MATCH($B23&amp;$C23,'Smelter Look-up'!$J:$J,0)))</f>
        <v>304</v>
      </c>
      <c r="X23" s="227">
        <f t="shared" si="16"/>
        <v>0</v>
      </c>
      <c r="AB23" s="228" t="str">
        <f t="shared" si="17"/>
        <v>GoldUnited Precious Metal Refining, Inc.</v>
      </c>
    </row>
    <row r="24" spans="1:28" s="227" customFormat="1" ht="63.75">
      <c r="A24" s="181" t="s">
        <v>729</v>
      </c>
      <c r="B24" s="182" t="s">
        <v>1119</v>
      </c>
      <c r="C24" s="186" t="s">
        <v>2147</v>
      </c>
      <c r="D24" s="230"/>
      <c r="E24" s="182" t="s">
        <v>1098</v>
      </c>
      <c r="F24" s="182" t="s">
        <v>729</v>
      </c>
      <c r="G24" s="182" t="s">
        <v>13217</v>
      </c>
      <c r="H24" s="183">
        <v>0</v>
      </c>
      <c r="I24" s="184" t="s">
        <v>1661</v>
      </c>
      <c r="J24" s="184" t="s">
        <v>1573</v>
      </c>
      <c r="K24" s="224"/>
      <c r="L24" s="224"/>
      <c r="M24" s="224"/>
      <c r="N24" s="224" t="s">
        <v>15867</v>
      </c>
      <c r="O24" s="224" t="s">
        <v>15867</v>
      </c>
      <c r="P24" s="185" t="s">
        <v>484</v>
      </c>
      <c r="Q24" s="225" t="s">
        <v>15861</v>
      </c>
      <c r="R24" s="182" t="str">
        <f ca="1">IF(ISERROR($V24),"",OFFSET('Smelter Look-up'!$C$4,$V24-4,0)&amp;"")</f>
        <v>Tokuriki Honten Co., Ltd.</v>
      </c>
      <c r="S24" s="181" t="str">
        <f t="shared" ref="S24:S31" ca="1" si="18">IF(B24="","",IF(ISERROR(MATCH($E24,CL,0)),"Unknown",INDIRECT("'C'!$A$"&amp;MATCH($E24,CL,0)+1)))</f>
        <v>JP</v>
      </c>
      <c r="T24" s="181" t="str">
        <f ca="1">IF(B24="","",IF(ISERROR(MATCH($J24,SorP!$B$1:$B$6226,0)),"",INDIRECT("'SorP'!$A$"&amp;MATCH($S24&amp;$J24,SorP!C:C,0))))</f>
        <v>JP-11</v>
      </c>
      <c r="U24" s="201"/>
      <c r="V24" s="226">
        <f>IF(C24="",NA(),IF(OR(C24="Smelter not listed",C24="Smelter not yet identified"),MATCH($B24&amp;$D24,'Smelter Look-up'!$J:$J,0),MATCH($B24&amp;$C24,'Smelter Look-up'!$J:$J,0)))</f>
        <v>294</v>
      </c>
      <c r="X24" s="227">
        <f t="shared" ref="X24:X31" si="19">IF(AND(C24="Smelter not listed",OR(LEN(D24)=0,LEN(E24)=0)),1,0)</f>
        <v>0</v>
      </c>
      <c r="AB24" s="228" t="str">
        <f t="shared" ref="AB24:AB31" si="20">B24&amp;C24</f>
        <v>GoldTokuriki Honten Co., Ltd.</v>
      </c>
    </row>
    <row r="25" spans="1:28" s="227" customFormat="1" ht="76.5">
      <c r="A25" s="181" t="s">
        <v>728</v>
      </c>
      <c r="B25" s="182" t="s">
        <v>1119</v>
      </c>
      <c r="C25" s="186" t="s">
        <v>15020</v>
      </c>
      <c r="D25" s="230"/>
      <c r="E25" s="182" t="s">
        <v>1090</v>
      </c>
      <c r="F25" s="182" t="s">
        <v>728</v>
      </c>
      <c r="G25" s="182" t="s">
        <v>13217</v>
      </c>
      <c r="H25" s="183">
        <v>0</v>
      </c>
      <c r="I25" s="184" t="s">
        <v>1647</v>
      </c>
      <c r="J25" s="184" t="s">
        <v>13597</v>
      </c>
      <c r="K25" s="224"/>
      <c r="L25" s="224"/>
      <c r="M25" s="224"/>
      <c r="N25" s="224"/>
      <c r="O25" s="224" t="s">
        <v>15855</v>
      </c>
      <c r="P25" s="185" t="s">
        <v>485</v>
      </c>
      <c r="Q25" s="225" t="s">
        <v>15861</v>
      </c>
      <c r="R25" s="182" t="str">
        <f ca="1">IF(ISERROR($V25),"",OFFSET('Smelter Look-up'!$C$4,$V25-4,0)&amp;"")</f>
        <v>Shandong Gold Smelting Co., Ltd.</v>
      </c>
      <c r="S25" s="181" t="str">
        <f t="shared" ca="1" si="18"/>
        <v>CN</v>
      </c>
      <c r="T25" s="181" t="str">
        <f ca="1">IF(B25="","",IF(ISERROR(MATCH($J25,SorP!$B$1:$B$6226,0)),"",INDIRECT("'SorP'!$A$"&amp;MATCH($S25&amp;$J25,SorP!C:C,0))))</f>
        <v>CN-SD</v>
      </c>
      <c r="U25" s="201"/>
      <c r="V25" s="226">
        <f>IF(C25="",NA(),IF(OR(C25="Smelter not listed",C25="Smelter not yet identified"),MATCH($B25&amp;$D25,'Smelter Look-up'!$J:$J,0),MATCH($B25&amp;$C25,'Smelter Look-up'!$J:$J,0)))</f>
        <v>249</v>
      </c>
      <c r="X25" s="227">
        <f t="shared" si="19"/>
        <v>0</v>
      </c>
      <c r="AB25" s="228" t="str">
        <f t="shared" si="20"/>
        <v>GoldShandong Gold Smelting Co., Ltd.</v>
      </c>
    </row>
    <row r="26" spans="1:28" s="227" customFormat="1" ht="38.25">
      <c r="A26" s="181" t="s">
        <v>779</v>
      </c>
      <c r="B26" s="182" t="s">
        <v>1120</v>
      </c>
      <c r="C26" s="186" t="s">
        <v>1021</v>
      </c>
      <c r="D26" s="230"/>
      <c r="E26" s="182" t="s">
        <v>878</v>
      </c>
      <c r="F26" s="182" t="s">
        <v>779</v>
      </c>
      <c r="G26" s="182" t="s">
        <v>13217</v>
      </c>
      <c r="H26" s="183">
        <v>0</v>
      </c>
      <c r="I26" s="184" t="s">
        <v>1781</v>
      </c>
      <c r="J26" s="184" t="s">
        <v>1782</v>
      </c>
      <c r="K26" s="224"/>
      <c r="L26" s="224"/>
      <c r="M26" s="224"/>
      <c r="N26" s="224"/>
      <c r="O26" s="224" t="s">
        <v>15869</v>
      </c>
      <c r="P26" s="185" t="s">
        <v>485</v>
      </c>
      <c r="Q26" s="225" t="s">
        <v>15859</v>
      </c>
      <c r="R26" s="182" t="str">
        <f ca="1">IF(ISERROR($V26),"",OFFSET('Smelter Look-up'!$C$4,$V26-4,0)&amp;"")</f>
        <v>Thaisarco</v>
      </c>
      <c r="S26" s="181" t="str">
        <f t="shared" ca="1" si="18"/>
        <v>TH</v>
      </c>
      <c r="T26" s="181" t="str">
        <f ca="1">IF(B26="","",IF(ISERROR(MATCH($J26,SorP!$B$1:$B$6226,0)),"",INDIRECT("'SorP'!$A$"&amp;MATCH($S26&amp;$J26,SorP!C:C,0))))</f>
        <v>TH-83</v>
      </c>
      <c r="U26" s="201"/>
      <c r="V26" s="226">
        <f>IF(C26="",NA(),IF(OR(C26="Smelter not listed",C26="Smelter not yet identified"),MATCH($B26&amp;$D26,'Smelter Look-up'!$J:$J,0),MATCH($B26&amp;$C26,'Smelter Look-up'!$J:$J,0)))</f>
        <v>547</v>
      </c>
      <c r="X26" s="227">
        <f t="shared" si="19"/>
        <v>0</v>
      </c>
      <c r="AB26" s="228" t="str">
        <f t="shared" si="20"/>
        <v>TinThaisarco</v>
      </c>
    </row>
    <row r="27" spans="1:28" s="227" customFormat="1" ht="63.75">
      <c r="A27" s="181" t="s">
        <v>726</v>
      </c>
      <c r="B27" s="182" t="s">
        <v>1119</v>
      </c>
      <c r="C27" s="186" t="s">
        <v>1221</v>
      </c>
      <c r="D27" s="230"/>
      <c r="E27" s="182" t="s">
        <v>1098</v>
      </c>
      <c r="F27" s="182" t="s">
        <v>726</v>
      </c>
      <c r="G27" s="182" t="s">
        <v>13217</v>
      </c>
      <c r="H27" s="183">
        <v>0</v>
      </c>
      <c r="I27" s="184" t="s">
        <v>1655</v>
      </c>
      <c r="J27" s="184" t="s">
        <v>1656</v>
      </c>
      <c r="K27" s="224"/>
      <c r="L27" s="224"/>
      <c r="M27" s="224"/>
      <c r="N27" s="224" t="s">
        <v>15867</v>
      </c>
      <c r="O27" s="224" t="s">
        <v>15868</v>
      </c>
      <c r="P27" s="185" t="s">
        <v>484</v>
      </c>
      <c r="Q27" s="225" t="s">
        <v>15861</v>
      </c>
      <c r="R27" s="182" t="str">
        <f ca="1">IF(ISERROR($V27),"",OFFSET('Smelter Look-up'!$C$4,$V27-4,0)&amp;"")</f>
        <v>Tanaka Kikinzoku Kogyo K.K.</v>
      </c>
      <c r="S27" s="181" t="str">
        <f t="shared" ca="1" si="18"/>
        <v>JP</v>
      </c>
      <c r="T27" s="181" t="str">
        <f ca="1">IF(B27="","",IF(ISERROR(MATCH($J27,SorP!$B$1:$B$6226,0)),"",INDIRECT("'SorP'!$A$"&amp;MATCH($S27&amp;$J27,SorP!C:C,0))))</f>
        <v>JP-14</v>
      </c>
      <c r="U27" s="201"/>
      <c r="V27" s="226">
        <f>IF(C27="",NA(),IF(OR(C27="Smelter not listed",C27="Smelter not yet identified"),MATCH($B27&amp;$D27,'Smelter Look-up'!$J:$J,0),MATCH($B27&amp;$C27,'Smelter Look-up'!$J:$J,0)))</f>
        <v>289</v>
      </c>
      <c r="X27" s="227">
        <f t="shared" si="19"/>
        <v>0</v>
      </c>
      <c r="AB27" s="228" t="str">
        <f t="shared" si="20"/>
        <v>GoldTanaka Kikinzoku Kogyo K.K.</v>
      </c>
    </row>
    <row r="28" spans="1:28" s="227" customFormat="1" ht="63.75">
      <c r="A28" s="181" t="s">
        <v>755</v>
      </c>
      <c r="B28" s="182" t="s">
        <v>1121</v>
      </c>
      <c r="C28" s="186" t="s">
        <v>2428</v>
      </c>
      <c r="D28" s="230"/>
      <c r="E28" s="182" t="s">
        <v>1098</v>
      </c>
      <c r="F28" s="182" t="s">
        <v>755</v>
      </c>
      <c r="G28" s="182" t="s">
        <v>13217</v>
      </c>
      <c r="H28" s="183">
        <v>0</v>
      </c>
      <c r="I28" s="184" t="s">
        <v>1722</v>
      </c>
      <c r="J28" s="184" t="s">
        <v>1544</v>
      </c>
      <c r="K28" s="224"/>
      <c r="L28" s="224"/>
      <c r="M28" s="224"/>
      <c r="N28" s="224"/>
      <c r="O28" s="224" t="s">
        <v>15870</v>
      </c>
      <c r="P28" s="185" t="s">
        <v>485</v>
      </c>
      <c r="Q28" s="225" t="s">
        <v>15863</v>
      </c>
      <c r="R28" s="182" t="str">
        <f ca="1">IF(ISERROR($V28),"",OFFSET('Smelter Look-up'!$C$4,$V28-4,0)&amp;"")</f>
        <v>Taki Chemical Co., Ltd.</v>
      </c>
      <c r="S28" s="181" t="str">
        <f t="shared" ca="1" si="18"/>
        <v>JP</v>
      </c>
      <c r="T28" s="181" t="str">
        <f ca="1">IF(B28="","",IF(ISERROR(MATCH($J28,SorP!$B$1:$B$6226,0)),"",INDIRECT("'SorP'!$A$"&amp;MATCH($S28&amp;$J28,SorP!C:C,0))))</f>
        <v>JP-28</v>
      </c>
      <c r="U28" s="201"/>
      <c r="V28" s="226">
        <f>IF(C28="",NA(),IF(OR(C28="Smelter not listed",C28="Smelter not yet identified"),MATCH($B28&amp;$D28,'Smelter Look-up'!$J:$J,0),MATCH($B28&amp;$C28,'Smelter Look-up'!$J:$J,0)))</f>
        <v>382</v>
      </c>
      <c r="X28" s="227">
        <f t="shared" si="19"/>
        <v>0</v>
      </c>
      <c r="AB28" s="228" t="str">
        <f t="shared" si="20"/>
        <v>TantalumTaki Chemical Co., Ltd.</v>
      </c>
    </row>
    <row r="29" spans="1:28" s="227" customFormat="1" ht="76.5">
      <c r="A29" s="181" t="s">
        <v>725</v>
      </c>
      <c r="B29" s="182" t="s">
        <v>1119</v>
      </c>
      <c r="C29" s="186" t="s">
        <v>55</v>
      </c>
      <c r="D29" s="230"/>
      <c r="E29" s="182" t="s">
        <v>1098</v>
      </c>
      <c r="F29" s="182" t="s">
        <v>725</v>
      </c>
      <c r="G29" s="182" t="s">
        <v>13217</v>
      </c>
      <c r="H29" s="183">
        <v>0</v>
      </c>
      <c r="I29" s="184" t="s">
        <v>1654</v>
      </c>
      <c r="J29" s="184" t="s">
        <v>2196</v>
      </c>
      <c r="K29" s="224"/>
      <c r="L29" s="224"/>
      <c r="M29" s="224"/>
      <c r="N29" s="224" t="s">
        <v>15867</v>
      </c>
      <c r="O29" s="224" t="s">
        <v>15867</v>
      </c>
      <c r="P29" s="185" t="s">
        <v>484</v>
      </c>
      <c r="Q29" s="225" t="s">
        <v>15861</v>
      </c>
      <c r="R29" s="182" t="str">
        <f ca="1">IF(ISERROR($V29),"",OFFSET('Smelter Look-up'!$C$4,$V29-4,0)&amp;"")</f>
        <v>Sumitomo Metal Mining Co., Ltd.</v>
      </c>
      <c r="S29" s="181" t="str">
        <f t="shared" ca="1" si="18"/>
        <v>JP</v>
      </c>
      <c r="T29" s="181" t="str">
        <f ca="1">IF(B29="","",IF(ISERROR(MATCH($J29,SorP!$B$1:$B$6226,0)),"",INDIRECT("'SorP'!$A$"&amp;MATCH($S29&amp;$J29,SorP!C:C,0))))</f>
        <v>JP-38</v>
      </c>
      <c r="U29" s="201"/>
      <c r="V29" s="226">
        <f>IF(C29="",NA(),IF(OR(C29="Smelter not listed",C29="Smelter not yet identified"),MATCH($B29&amp;$D29,'Smelter Look-up'!$J:$J,0),MATCH($B29&amp;$C29,'Smelter Look-up'!$J:$J,0)))</f>
        <v>276</v>
      </c>
      <c r="X29" s="227">
        <f t="shared" si="19"/>
        <v>0</v>
      </c>
      <c r="AB29" s="228" t="str">
        <f t="shared" si="20"/>
        <v>GoldSumitomo Metal Mining Co., Ltd.</v>
      </c>
    </row>
    <row r="30" spans="1:28" s="227" customFormat="1" ht="102">
      <c r="A30" s="181" t="s">
        <v>724</v>
      </c>
      <c r="B30" s="182" t="s">
        <v>1119</v>
      </c>
      <c r="C30" s="186" t="s">
        <v>905</v>
      </c>
      <c r="D30" s="230"/>
      <c r="E30" s="182" t="s">
        <v>2414</v>
      </c>
      <c r="F30" s="182" t="s">
        <v>724</v>
      </c>
      <c r="G30" s="182" t="s">
        <v>13217</v>
      </c>
      <c r="H30" s="183">
        <v>0</v>
      </c>
      <c r="I30" s="184" t="s">
        <v>1653</v>
      </c>
      <c r="J30" s="184" t="s">
        <v>11489</v>
      </c>
      <c r="K30" s="224"/>
      <c r="L30" s="224"/>
      <c r="M30" s="224"/>
      <c r="N30" s="224" t="s">
        <v>15867</v>
      </c>
      <c r="O30" s="224" t="s">
        <v>15868</v>
      </c>
      <c r="P30" s="185" t="s">
        <v>485</v>
      </c>
      <c r="Q30" s="225" t="s">
        <v>15861</v>
      </c>
      <c r="R30" s="182" t="str">
        <f ca="1">IF(ISERROR($V30),"",OFFSET('Smelter Look-up'!$C$4,$V30-4,0)&amp;"")</f>
        <v>Solar Applied Materials Technology Corp.</v>
      </c>
      <c r="S30" s="181" t="str">
        <f t="shared" ca="1" si="18"/>
        <v>TW</v>
      </c>
      <c r="T30" s="181" t="str">
        <f ca="1">IF(B30="","",IF(ISERROR(MATCH($J30,SorP!$B$1:$B$6226,0)),"",INDIRECT("'SorP'!$A$"&amp;MATCH($S30&amp;$J30,SorP!C:C,0))))</f>
        <v>TW-TNN</v>
      </c>
      <c r="U30" s="201"/>
      <c r="V30" s="226">
        <f>IF(C30="",NA(),IF(OR(C30="Smelter not listed",C30="Smelter not yet identified"),MATCH($B30&amp;$D30,'Smelter Look-up'!$J:$J,0),MATCH($B30&amp;$C30,'Smelter Look-up'!$J:$J,0)))</f>
        <v>269</v>
      </c>
      <c r="X30" s="227">
        <f t="shared" si="19"/>
        <v>0</v>
      </c>
      <c r="AB30" s="228" t="str">
        <f t="shared" si="20"/>
        <v>GoldSolar Applied Materials Technology Corp.</v>
      </c>
    </row>
    <row r="31" spans="1:28" s="227" customFormat="1" ht="102">
      <c r="A31" s="181" t="s">
        <v>722</v>
      </c>
      <c r="B31" s="182" t="s">
        <v>1119</v>
      </c>
      <c r="C31" s="186" t="s">
        <v>2144</v>
      </c>
      <c r="D31" s="230"/>
      <c r="E31" s="182" t="s">
        <v>1090</v>
      </c>
      <c r="F31" s="182" t="s">
        <v>722</v>
      </c>
      <c r="G31" s="182" t="s">
        <v>13217</v>
      </c>
      <c r="H31" s="183">
        <v>0</v>
      </c>
      <c r="I31" s="184" t="s">
        <v>1578</v>
      </c>
      <c r="J31" s="184" t="s">
        <v>13597</v>
      </c>
      <c r="K31" s="224"/>
      <c r="L31" s="224"/>
      <c r="M31" s="224"/>
      <c r="N31" s="224"/>
      <c r="O31" s="224" t="s">
        <v>15855</v>
      </c>
      <c r="P31" s="185" t="s">
        <v>485</v>
      </c>
      <c r="Q31" s="225" t="s">
        <v>15861</v>
      </c>
      <c r="R31" s="182" t="str">
        <f ca="1">IF(ISERROR($V31),"",OFFSET('Smelter Look-up'!$C$4,$V31-4,0)&amp;"")</f>
        <v>Shandong Zhaojin Gold &amp; Silver Refinery Co., Ltd.</v>
      </c>
      <c r="S31" s="181" t="str">
        <f t="shared" ca="1" si="18"/>
        <v>CN</v>
      </c>
      <c r="T31" s="181" t="str">
        <f ca="1">IF(B31="","",IF(ISERROR(MATCH($J31,SorP!$B$1:$B$6226,0)),"",INDIRECT("'SorP'!$A$"&amp;MATCH($S31&amp;$J31,SorP!C:C,0))))</f>
        <v>CN-SD</v>
      </c>
      <c r="U31" s="201"/>
      <c r="V31" s="226">
        <f>IF(C31="",NA(),IF(OR(C31="Smelter not listed",C31="Smelter not yet identified"),MATCH($B31&amp;$D31,'Smelter Look-up'!$J:$J,0),MATCH($B31&amp;$C31,'Smelter Look-up'!$J:$J,0)))</f>
        <v>256</v>
      </c>
      <c r="X31" s="227">
        <f t="shared" si="19"/>
        <v>0</v>
      </c>
      <c r="AB31" s="228" t="str">
        <f t="shared" si="20"/>
        <v>GoldShandong Zhaojin Gold &amp; Silver Refinery Co., Ltd.</v>
      </c>
    </row>
    <row r="32" spans="1:28" s="227" customFormat="1" ht="38.25">
      <c r="A32" s="181" t="s">
        <v>778</v>
      </c>
      <c r="B32" s="182" t="s">
        <v>1120</v>
      </c>
      <c r="C32" s="186" t="s">
        <v>777</v>
      </c>
      <c r="D32" s="230"/>
      <c r="E32" s="182" t="s">
        <v>2414</v>
      </c>
      <c r="F32" s="182" t="s">
        <v>778</v>
      </c>
      <c r="G32" s="182" t="s">
        <v>13217</v>
      </c>
      <c r="H32" s="183">
        <v>0</v>
      </c>
      <c r="I32" s="184" t="s">
        <v>13804</v>
      </c>
      <c r="J32" s="184" t="s">
        <v>1691</v>
      </c>
      <c r="K32" s="224"/>
      <c r="L32" s="224"/>
      <c r="M32" s="224"/>
      <c r="N32" s="224"/>
      <c r="O32" s="224" t="s">
        <v>15871</v>
      </c>
      <c r="P32" s="185" t="s">
        <v>485</v>
      </c>
      <c r="Q32" s="225" t="s">
        <v>15859</v>
      </c>
      <c r="R32" s="182" t="str">
        <f ca="1">IF(ISERROR($V32),"",OFFSET('Smelter Look-up'!$C$4,$V32-4,0)&amp;"")</f>
        <v>Rui Da Hung</v>
      </c>
      <c r="S32" s="181" t="str">
        <f t="shared" ref="S32:S36" ca="1" si="21">IF(B32="","",IF(ISERROR(MATCH($E32,CL,0)),"Unknown",INDIRECT("'C'!$A$"&amp;MATCH($E32,CL,0)+1)))</f>
        <v>TW</v>
      </c>
      <c r="T32" s="181" t="str">
        <f ca="1">IF(B32="","",IF(ISERROR(MATCH($J32,SorP!$B$1:$B$6226,0)),"",INDIRECT("'SorP'!$A$"&amp;MATCH($S32&amp;$J32,SorP!C:C,0))))</f>
        <v>TW-TAO</v>
      </c>
      <c r="U32" s="201"/>
      <c r="V32" s="226">
        <f>IF(C32="",NA(),IF(OR(C32="Smelter not listed",C32="Smelter not yet identified"),MATCH($B32&amp;$D32,'Smelter Look-up'!$J:$J,0),MATCH($B32&amp;$C32,'Smelter Look-up'!$J:$J,0)))</f>
        <v>541</v>
      </c>
      <c r="X32" s="227">
        <f t="shared" ref="X32:X36" si="22">IF(AND(C32="Smelter not listed",OR(LEN(D32)=0,LEN(E32)=0)),1,0)</f>
        <v>0</v>
      </c>
      <c r="AB32" s="228" t="str">
        <f t="shared" ref="AB32:AB36" si="23">B32&amp;C32</f>
        <v>TinRui Da Hung</v>
      </c>
    </row>
    <row r="33" spans="1:28" s="227" customFormat="1" ht="51">
      <c r="A33" s="181" t="s">
        <v>776</v>
      </c>
      <c r="B33" s="182" t="s">
        <v>1120</v>
      </c>
      <c r="C33" s="186" t="s">
        <v>13778</v>
      </c>
      <c r="D33" s="230"/>
      <c r="E33" s="182" t="s">
        <v>1095</v>
      </c>
      <c r="F33" s="182" t="s">
        <v>776</v>
      </c>
      <c r="G33" s="182" t="s">
        <v>13217</v>
      </c>
      <c r="H33" s="183">
        <v>0</v>
      </c>
      <c r="I33" s="184" t="s">
        <v>1780</v>
      </c>
      <c r="J33" s="184" t="s">
        <v>12830</v>
      </c>
      <c r="K33" s="224"/>
      <c r="L33" s="224"/>
      <c r="M33" s="224"/>
      <c r="N33" s="224"/>
      <c r="O33" s="224" t="s">
        <v>15872</v>
      </c>
      <c r="P33" s="185" t="s">
        <v>485</v>
      </c>
      <c r="Q33" s="225" t="s">
        <v>15859</v>
      </c>
      <c r="R33" s="182" t="str">
        <f ca="1">IF(ISERROR($V33),"",OFFSET('Smelter Look-up'!$C$4,$V33-4,0)&amp;"")</f>
        <v>PT Timah Tbk Mentok</v>
      </c>
      <c r="S33" s="181" t="str">
        <f t="shared" ca="1" si="21"/>
        <v>ID</v>
      </c>
      <c r="T33" s="181" t="str">
        <f ca="1">IF(B33="","",IF(ISERROR(MATCH($J33,SorP!$B$1:$B$6226,0)),"",INDIRECT("'SorP'!$A$"&amp;MATCH($S33&amp;$J33,SorP!C:C,0))))</f>
        <v>ID-BB</v>
      </c>
      <c r="U33" s="201"/>
      <c r="V33" s="226">
        <f>IF(C33="",NA(),IF(OR(C33="Smelter not listed",C33="Smelter not yet identified"),MATCH($B33&amp;$D33,'Smelter Look-up'!$J:$J,0),MATCH($B33&amp;$C33,'Smelter Look-up'!$J:$J,0)))</f>
        <v>533</v>
      </c>
      <c r="X33" s="227">
        <f t="shared" si="22"/>
        <v>0</v>
      </c>
      <c r="AB33" s="228" t="str">
        <f t="shared" si="23"/>
        <v>TinPT Timah Tbk Mentok</v>
      </c>
    </row>
    <row r="34" spans="1:28" s="227" customFormat="1" ht="51">
      <c r="A34" s="181" t="s">
        <v>794</v>
      </c>
      <c r="B34" s="182" t="s">
        <v>1120</v>
      </c>
      <c r="C34" s="186" t="s">
        <v>13779</v>
      </c>
      <c r="D34" s="230"/>
      <c r="E34" s="182" t="s">
        <v>1095</v>
      </c>
      <c r="F34" s="182" t="s">
        <v>794</v>
      </c>
      <c r="G34" s="182" t="s">
        <v>13217</v>
      </c>
      <c r="H34" s="183">
        <v>0</v>
      </c>
      <c r="I34" s="184" t="s">
        <v>1778</v>
      </c>
      <c r="J34" s="184" t="s">
        <v>6047</v>
      </c>
      <c r="K34" s="224"/>
      <c r="L34" s="224"/>
      <c r="M34" s="224"/>
      <c r="N34" s="224"/>
      <c r="O34" s="224" t="s">
        <v>15872</v>
      </c>
      <c r="P34" s="185" t="s">
        <v>485</v>
      </c>
      <c r="Q34" s="225" t="s">
        <v>15859</v>
      </c>
      <c r="R34" s="182" t="str">
        <f ca="1">IF(ISERROR($V34),"",OFFSET('Smelter Look-up'!$C$4,$V34-4,0)&amp;"")</f>
        <v>PT Timah Tbk Kundur</v>
      </c>
      <c r="S34" s="181" t="str">
        <f t="shared" ca="1" si="21"/>
        <v>ID</v>
      </c>
      <c r="T34" s="181" t="str">
        <f ca="1">IF(B34="","",IF(ISERROR(MATCH($J34,SorP!$B$1:$B$6226,0)),"",INDIRECT("'SorP'!$A$"&amp;MATCH($S34&amp;$J34,SorP!C:C,0))))</f>
        <v>ID-RI</v>
      </c>
      <c r="U34" s="201"/>
      <c r="V34" s="226">
        <f>IF(C34="",NA(),IF(OR(C34="Smelter not listed",C34="Smelter not yet identified"),MATCH($B34&amp;$D34,'Smelter Look-up'!$J:$J,0),MATCH($B34&amp;$C34,'Smelter Look-up'!$J:$J,0)))</f>
        <v>532</v>
      </c>
      <c r="X34" s="227">
        <f t="shared" si="22"/>
        <v>0</v>
      </c>
      <c r="AB34" s="228" t="str">
        <f t="shared" si="23"/>
        <v>TinPT Timah Tbk Kundur</v>
      </c>
    </row>
    <row r="35" spans="1:28" s="227" customFormat="1" ht="51">
      <c r="A35" s="181" t="s">
        <v>775</v>
      </c>
      <c r="B35" s="182" t="s">
        <v>1120</v>
      </c>
      <c r="C35" s="186" t="s">
        <v>2141</v>
      </c>
      <c r="D35" s="230"/>
      <c r="E35" s="182" t="s">
        <v>1095</v>
      </c>
      <c r="F35" s="182" t="s">
        <v>775</v>
      </c>
      <c r="G35" s="182" t="s">
        <v>13217</v>
      </c>
      <c r="H35" s="183">
        <v>0</v>
      </c>
      <c r="I35" s="184" t="s">
        <v>1753</v>
      </c>
      <c r="J35" s="184" t="s">
        <v>12830</v>
      </c>
      <c r="K35" s="224"/>
      <c r="L35" s="224"/>
      <c r="M35" s="224"/>
      <c r="N35" s="224"/>
      <c r="O35" s="224" t="s">
        <v>15872</v>
      </c>
      <c r="P35" s="185" t="s">
        <v>485</v>
      </c>
      <c r="Q35" s="225" t="s">
        <v>15859</v>
      </c>
      <c r="R35" s="182" t="str">
        <f ca="1">IF(ISERROR($V35),"",OFFSET('Smelter Look-up'!$C$4,$V35-4,0)&amp;"")</f>
        <v>PT Refined Bangka Tin</v>
      </c>
      <c r="S35" s="181" t="str">
        <f t="shared" ca="1" si="21"/>
        <v>ID</v>
      </c>
      <c r="T35" s="181" t="str">
        <f ca="1">IF(B35="","",IF(ISERROR(MATCH($J35,SorP!$B$1:$B$6226,0)),"",INDIRECT("'SorP'!$A$"&amp;MATCH($S35&amp;$J35,SorP!C:C,0))))</f>
        <v>ID-BB</v>
      </c>
      <c r="U35" s="201"/>
      <c r="V35" s="226">
        <f>IF(C35="",NA(),IF(OR(C35="Smelter not listed",C35="Smelter not yet identified"),MATCH($B35&amp;$D35,'Smelter Look-up'!$J:$J,0),MATCH($B35&amp;$C35,'Smelter Look-up'!$J:$J,0)))</f>
        <v>526</v>
      </c>
      <c r="X35" s="227">
        <f t="shared" si="22"/>
        <v>0</v>
      </c>
      <c r="AB35" s="228" t="str">
        <f t="shared" si="23"/>
        <v>TinPT Refined Bangka Tin</v>
      </c>
    </row>
    <row r="36" spans="1:28" s="227" customFormat="1" ht="83.25" customHeight="1">
      <c r="A36" s="181" t="s">
        <v>772</v>
      </c>
      <c r="B36" s="182" t="s">
        <v>1120</v>
      </c>
      <c r="C36" s="186" t="s">
        <v>13780</v>
      </c>
      <c r="D36" s="230"/>
      <c r="E36" s="182" t="s">
        <v>2413</v>
      </c>
      <c r="F36" s="182" t="s">
        <v>772</v>
      </c>
      <c r="G36" s="182" t="s">
        <v>13217</v>
      </c>
      <c r="H36" s="183">
        <v>0</v>
      </c>
      <c r="I36" s="184" t="s">
        <v>1755</v>
      </c>
      <c r="J36" s="184" t="s">
        <v>1755</v>
      </c>
      <c r="K36" s="224"/>
      <c r="L36" s="224"/>
      <c r="M36" s="224"/>
      <c r="N36" s="224"/>
      <c r="O36" s="224" t="s">
        <v>15873</v>
      </c>
      <c r="P36" s="185" t="s">
        <v>485</v>
      </c>
      <c r="Q36" s="225" t="s">
        <v>15859</v>
      </c>
      <c r="R36" s="182" t="str">
        <f ca="1">IF(ISERROR($V36),"",OFFSET('Smelter Look-up'!$C$4,$V36-4,0)&amp;"")</f>
        <v>Operaciones Metalurgicas S.A.</v>
      </c>
      <c r="S36" s="181" t="str">
        <f t="shared" ca="1" si="21"/>
        <v>BO</v>
      </c>
      <c r="T36" s="181" t="str">
        <f ca="1">IF(B36="","",IF(ISERROR(MATCH($J36,SorP!$B$1:$B$6226,0)),"",INDIRECT("'SorP'!$A$"&amp;MATCH($S36&amp;$J36,SorP!C:C,0))))</f>
        <v>BO-O</v>
      </c>
      <c r="U36" s="201"/>
      <c r="V36" s="226">
        <f>IF(C36="",NA(),IF(OR(C36="Smelter not listed",C36="Smelter not yet identified"),MATCH($B36&amp;$D36,'Smelter Look-up'!$J:$J,0),MATCH($B36&amp;$C36,'Smelter Look-up'!$J:$J,0)))</f>
        <v>499</v>
      </c>
      <c r="X36" s="227">
        <f t="shared" si="22"/>
        <v>0</v>
      </c>
      <c r="AB36" s="228" t="str">
        <f t="shared" si="23"/>
        <v>TinOperaciones Metalurgicas S.A.</v>
      </c>
    </row>
    <row r="37" spans="1:28" s="227" customFormat="1" ht="83.25" customHeight="1">
      <c r="A37" s="181" t="s">
        <v>771</v>
      </c>
      <c r="B37" s="182" t="s">
        <v>1120</v>
      </c>
      <c r="C37" s="186" t="s">
        <v>770</v>
      </c>
      <c r="D37" s="230"/>
      <c r="E37" s="182" t="s">
        <v>878</v>
      </c>
      <c r="F37" s="182" t="s">
        <v>771</v>
      </c>
      <c r="G37" s="182" t="s">
        <v>13217</v>
      </c>
      <c r="H37" s="183">
        <v>0</v>
      </c>
      <c r="I37" s="184" t="s">
        <v>2323</v>
      </c>
      <c r="J37" s="184" t="s">
        <v>11003</v>
      </c>
      <c r="K37" s="224"/>
      <c r="L37" s="224"/>
      <c r="M37" s="224"/>
      <c r="N37" s="224"/>
      <c r="O37" s="224" t="s">
        <v>15867</v>
      </c>
      <c r="P37" s="185" t="s">
        <v>485</v>
      </c>
      <c r="Q37" s="225" t="s">
        <v>15859</v>
      </c>
      <c r="R37" s="182" t="str">
        <f ca="1">IF(ISERROR($V37),"",OFFSET('Smelter Look-up'!$C$4,$V37-4,0)&amp;"")</f>
        <v>O.M. Manufacturing (Thailand) Co., Ltd.</v>
      </c>
      <c r="S37" s="181" t="str">
        <f t="shared" ref="S37:S49" ca="1" si="24">IF(B37="","",IF(ISERROR(MATCH($E37,CL,0)),"Unknown",INDIRECT("'C'!$A$"&amp;MATCH($E37,CL,0)+1)))</f>
        <v>TH</v>
      </c>
      <c r="T37" s="181" t="str">
        <f ca="1">IF(B37="","",IF(ISERROR(MATCH($J37,SorP!$B$1:$B$6226,0)),"",INDIRECT("'SorP'!$A$"&amp;MATCH($S37&amp;$J37,SorP!C:C,0))))</f>
        <v>TH-20</v>
      </c>
      <c r="U37" s="201"/>
      <c r="V37" s="226">
        <f>IF(C37="",NA(),IF(OR(C37="Smelter not listed",C37="Smelter not yet identified"),MATCH($B37&amp;$D37,'Smelter Look-up'!$J:$J,0),MATCH($B37&amp;$C37,'Smelter Look-up'!$J:$J,0)))</f>
        <v>496</v>
      </c>
      <c r="X37" s="227">
        <f t="shared" ref="X37:X49" si="25">IF(AND(C37="Smelter not listed",OR(LEN(D37)=0,LEN(E37)=0)),1,0)</f>
        <v>0</v>
      </c>
      <c r="AB37" s="228" t="str">
        <f t="shared" ref="AB37:AB49" si="26">B37&amp;C37</f>
        <v>TinO.M. Manufacturing (Thailand) Co., Ltd.</v>
      </c>
    </row>
    <row r="38" spans="1:28" s="227" customFormat="1" ht="83.25" customHeight="1">
      <c r="A38" s="181" t="s">
        <v>751</v>
      </c>
      <c r="B38" s="182" t="s">
        <v>1121</v>
      </c>
      <c r="C38" s="186" t="s">
        <v>1020</v>
      </c>
      <c r="D38" s="230"/>
      <c r="E38" s="182" t="s">
        <v>1090</v>
      </c>
      <c r="F38" s="182" t="s">
        <v>751</v>
      </c>
      <c r="G38" s="182" t="s">
        <v>13217</v>
      </c>
      <c r="H38" s="183">
        <v>0</v>
      </c>
      <c r="I38" s="184" t="s">
        <v>1718</v>
      </c>
      <c r="J38" s="184" t="s">
        <v>13582</v>
      </c>
      <c r="K38" s="224"/>
      <c r="L38" s="224"/>
      <c r="M38" s="224"/>
      <c r="N38" s="224"/>
      <c r="O38" s="224" t="s">
        <v>15870</v>
      </c>
      <c r="P38" s="185" t="s">
        <v>485</v>
      </c>
      <c r="Q38" s="225" t="s">
        <v>15863</v>
      </c>
      <c r="R38" s="182" t="str">
        <f ca="1">IF(ISERROR($V38),"",OFFSET('Smelter Look-up'!$C$4,$V38-4,0)&amp;"")</f>
        <v>Ningxia Orient Tantalum Industry Co., Ltd.</v>
      </c>
      <c r="S38" s="181" t="str">
        <f t="shared" ca="1" si="24"/>
        <v>CN</v>
      </c>
      <c r="T38" s="181" t="str">
        <f ca="1">IF(B38="","",IF(ISERROR(MATCH($J38,SorP!$B$1:$B$6226,0)),"",INDIRECT("'SorP'!$A$"&amp;MATCH($S38&amp;$J38,SorP!C:C,0))))</f>
        <v>CN-NX</v>
      </c>
      <c r="U38" s="201"/>
      <c r="V38" s="226">
        <f>IF(C38="",NA(),IF(OR(C38="Smelter not listed",C38="Smelter not yet identified"),MATCH($B38&amp;$D38,'Smelter Look-up'!$J:$J,0),MATCH($B38&amp;$C38,'Smelter Look-up'!$J:$J,0)))</f>
        <v>369</v>
      </c>
      <c r="X38" s="227">
        <f t="shared" si="25"/>
        <v>0</v>
      </c>
      <c r="AB38" s="228" t="str">
        <f t="shared" si="26"/>
        <v>TantalumNingxia Orient Tantalum Industry Co., Ltd.</v>
      </c>
    </row>
    <row r="39" spans="1:28" s="227" customFormat="1" ht="83.25" customHeight="1">
      <c r="A39" s="181" t="s">
        <v>709</v>
      </c>
      <c r="B39" s="182" t="s">
        <v>1119</v>
      </c>
      <c r="C39" s="186" t="s">
        <v>2138</v>
      </c>
      <c r="D39" s="230"/>
      <c r="E39" s="182" t="s">
        <v>1098</v>
      </c>
      <c r="F39" s="182" t="s">
        <v>709</v>
      </c>
      <c r="G39" s="182" t="s">
        <v>13217</v>
      </c>
      <c r="H39" s="183">
        <v>0</v>
      </c>
      <c r="I39" s="184" t="s">
        <v>1625</v>
      </c>
      <c r="J39" s="184" t="s">
        <v>1626</v>
      </c>
      <c r="K39" s="224"/>
      <c r="L39" s="224"/>
      <c r="M39" s="224"/>
      <c r="N39" s="224" t="s">
        <v>15867</v>
      </c>
      <c r="O39" s="224" t="s">
        <v>15867</v>
      </c>
      <c r="P39" s="185" t="s">
        <v>484</v>
      </c>
      <c r="Q39" s="225" t="s">
        <v>15861</v>
      </c>
      <c r="R39" s="182" t="str">
        <f ca="1">IF(ISERROR($V39),"",OFFSET('Smelter Look-up'!$C$4,$V39-4,0)&amp;"")</f>
        <v>Nihon Material Co., Ltd.</v>
      </c>
      <c r="S39" s="181" t="str">
        <f t="shared" ca="1" si="24"/>
        <v>JP</v>
      </c>
      <c r="T39" s="181" t="str">
        <f ca="1">IF(B39="","",IF(ISERROR(MATCH($J39,SorP!$B$1:$B$6226,0)),"",INDIRECT("'SorP'!$A$"&amp;MATCH($S39&amp;$J39,SorP!C:C,0))))</f>
        <v>JP-12</v>
      </c>
      <c r="U39" s="201"/>
      <c r="V39" s="226">
        <f>IF(C39="",NA(),IF(OR(C39="Smelter not listed",C39="Smelter not yet identified"),MATCH($B39&amp;$D39,'Smelter Look-up'!$J:$J,0),MATCH($B39&amp;$C39,'Smelter Look-up'!$J:$J,0)))</f>
        <v>204</v>
      </c>
      <c r="X39" s="227">
        <f t="shared" si="25"/>
        <v>0</v>
      </c>
      <c r="AB39" s="228" t="str">
        <f t="shared" si="26"/>
        <v>GoldNihon Material Co., Ltd.</v>
      </c>
    </row>
    <row r="40" spans="1:28" s="227" customFormat="1" ht="89.25">
      <c r="A40" s="181" t="s">
        <v>705</v>
      </c>
      <c r="B40" s="182" t="s">
        <v>1119</v>
      </c>
      <c r="C40" s="186" t="s">
        <v>1218</v>
      </c>
      <c r="D40" s="230"/>
      <c r="E40" s="182" t="s">
        <v>1098</v>
      </c>
      <c r="F40" s="182" t="s">
        <v>705</v>
      </c>
      <c r="G40" s="182" t="s">
        <v>13217</v>
      </c>
      <c r="H40" s="183">
        <v>0</v>
      </c>
      <c r="I40" s="184" t="s">
        <v>1620</v>
      </c>
      <c r="J40" s="184" t="s">
        <v>1619</v>
      </c>
      <c r="K40" s="224"/>
      <c r="L40" s="224"/>
      <c r="M40" s="224"/>
      <c r="N40" s="224" t="s">
        <v>15867</v>
      </c>
      <c r="O40" s="224" t="s">
        <v>15867</v>
      </c>
      <c r="P40" s="185" t="s">
        <v>484</v>
      </c>
      <c r="Q40" s="225" t="s">
        <v>15861</v>
      </c>
      <c r="R40" s="182" t="str">
        <f ca="1">IF(ISERROR($V40),"",OFFSET('Smelter Look-up'!$C$4,$V40-4,0)&amp;"")</f>
        <v>Mitsui Mining and Smelting Co., Ltd.</v>
      </c>
      <c r="S40" s="181" t="str">
        <f t="shared" ca="1" si="24"/>
        <v>JP</v>
      </c>
      <c r="T40" s="181" t="str">
        <f ca="1">IF(B40="","",IF(ISERROR(MATCH($J40,SorP!$B$1:$B$6226,0)),"",INDIRECT("'SorP'!$A$"&amp;MATCH($S40&amp;$J40,SorP!C:C,0))))</f>
        <v>JP-34</v>
      </c>
      <c r="U40" s="201"/>
      <c r="V40" s="226">
        <f>IF(C40="",NA(),IF(OR(C40="Smelter not listed",C40="Smelter not yet identified"),MATCH($B40&amp;$D40,'Smelter Look-up'!$J:$J,0),MATCH($B40&amp;$C40,'Smelter Look-up'!$J:$J,0)))</f>
        <v>194</v>
      </c>
      <c r="X40" s="227">
        <f t="shared" si="25"/>
        <v>0</v>
      </c>
      <c r="AB40" s="228" t="str">
        <f t="shared" si="26"/>
        <v>GoldMitsui Mining and Smelting Co., Ltd.</v>
      </c>
    </row>
    <row r="41" spans="1:28" s="227" customFormat="1" ht="89.25">
      <c r="A41" s="181" t="s">
        <v>749</v>
      </c>
      <c r="B41" s="182" t="s">
        <v>1121</v>
      </c>
      <c r="C41" s="186" t="s">
        <v>1218</v>
      </c>
      <c r="D41" s="230"/>
      <c r="E41" s="182" t="s">
        <v>1098</v>
      </c>
      <c r="F41" s="182" t="s">
        <v>749</v>
      </c>
      <c r="G41" s="182" t="s">
        <v>13217</v>
      </c>
      <c r="H41" s="183">
        <v>0</v>
      </c>
      <c r="I41" s="184" t="s">
        <v>1714</v>
      </c>
      <c r="J41" s="184" t="s">
        <v>1715</v>
      </c>
      <c r="K41" s="224"/>
      <c r="L41" s="224"/>
      <c r="M41" s="224"/>
      <c r="N41" s="224"/>
      <c r="O41" s="224" t="s">
        <v>15858</v>
      </c>
      <c r="P41" s="185" t="s">
        <v>485</v>
      </c>
      <c r="Q41" s="225" t="s">
        <v>15863</v>
      </c>
      <c r="R41" s="182" t="str">
        <f ca="1">IF(ISERROR($V41),"",OFFSET('Smelter Look-up'!$C$4,$V41-4,0)&amp;"")</f>
        <v>Mitsui Mining and Smelting Co., Ltd.</v>
      </c>
      <c r="S41" s="181" t="str">
        <f t="shared" ca="1" si="24"/>
        <v>JP</v>
      </c>
      <c r="T41" s="181" t="str">
        <f ca="1">IF(B41="","",IF(ISERROR(MATCH($J41,SorP!$B$1:$B$6226,0)),"",INDIRECT("'SorP'!$A$"&amp;MATCH($S41&amp;$J41,SorP!C:C,0))))</f>
        <v>JP-40</v>
      </c>
      <c r="U41" s="201"/>
      <c r="V41" s="226">
        <f>IF(C41="",NA(),IF(OR(C41="Smelter not listed",C41="Smelter not yet identified"),MATCH($B41&amp;$D41,'Smelter Look-up'!$J:$J,0),MATCH($B41&amp;$C41,'Smelter Look-up'!$J:$J,0)))</f>
        <v>366</v>
      </c>
      <c r="X41" s="227">
        <f t="shared" si="25"/>
        <v>0</v>
      </c>
      <c r="AB41" s="228" t="str">
        <f t="shared" si="26"/>
        <v>TantalumMitsui Mining and Smelting Co., Ltd.</v>
      </c>
    </row>
    <row r="42" spans="1:28" s="227" customFormat="1" ht="76.5">
      <c r="A42" s="181" t="s">
        <v>769</v>
      </c>
      <c r="B42" s="182" t="s">
        <v>1120</v>
      </c>
      <c r="C42" s="186" t="s">
        <v>1153</v>
      </c>
      <c r="D42" s="230"/>
      <c r="E42" s="182" t="s">
        <v>1098</v>
      </c>
      <c r="F42" s="182" t="s">
        <v>769</v>
      </c>
      <c r="G42" s="182" t="s">
        <v>13217</v>
      </c>
      <c r="H42" s="183">
        <v>0</v>
      </c>
      <c r="I42" s="184" t="s">
        <v>15828</v>
      </c>
      <c r="J42" s="184" t="s">
        <v>1544</v>
      </c>
      <c r="K42" s="224"/>
      <c r="L42" s="224"/>
      <c r="M42" s="224"/>
      <c r="N42" s="224" t="s">
        <v>15867</v>
      </c>
      <c r="O42" s="224" t="s">
        <v>15867</v>
      </c>
      <c r="P42" s="185" t="s">
        <v>484</v>
      </c>
      <c r="Q42" s="225" t="s">
        <v>15859</v>
      </c>
      <c r="R42" s="182" t="str">
        <f ca="1">IF(ISERROR($V42),"",OFFSET('Smelter Look-up'!$C$4,$V42-4,0)&amp;"")</f>
        <v>Mitsubishi Materials Corporation</v>
      </c>
      <c r="S42" s="181" t="str">
        <f t="shared" ca="1" si="24"/>
        <v>JP</v>
      </c>
      <c r="T42" s="181" t="str">
        <f ca="1">IF(B42="","",IF(ISERROR(MATCH($J42,SorP!$B$1:$B$6226,0)),"",INDIRECT("'SorP'!$A$"&amp;MATCH($S42&amp;$J42,SorP!C:C,0))))</f>
        <v>JP-28</v>
      </c>
      <c r="U42" s="201"/>
      <c r="V42" s="226">
        <f>IF(C42="",NA(),IF(OR(C42="Smelter not listed",C42="Smelter not yet identified"),MATCH($B42&amp;$D42,'Smelter Look-up'!$J:$J,0),MATCH($B42&amp;$C42,'Smelter Look-up'!$J:$J,0)))</f>
        <v>488</v>
      </c>
      <c r="X42" s="227">
        <f t="shared" si="25"/>
        <v>0</v>
      </c>
      <c r="AB42" s="228" t="str">
        <f t="shared" si="26"/>
        <v>TinMitsubishi Materials Corporation</v>
      </c>
    </row>
    <row r="43" spans="1:28" s="227" customFormat="1" ht="76.5">
      <c r="A43" s="181" t="s">
        <v>704</v>
      </c>
      <c r="B43" s="182" t="s">
        <v>1119</v>
      </c>
      <c r="C43" s="186" t="s">
        <v>1153</v>
      </c>
      <c r="D43" s="230"/>
      <c r="E43" s="182" t="s">
        <v>1098</v>
      </c>
      <c r="F43" s="182" t="s">
        <v>704</v>
      </c>
      <c r="G43" s="182" t="s">
        <v>13217</v>
      </c>
      <c r="H43" s="183">
        <v>0</v>
      </c>
      <c r="I43" s="184" t="s">
        <v>1534</v>
      </c>
      <c r="J43" s="184" t="s">
        <v>1534</v>
      </c>
      <c r="K43" s="224"/>
      <c r="L43" s="224"/>
      <c r="M43" s="224"/>
      <c r="N43" s="224" t="s">
        <v>15867</v>
      </c>
      <c r="O43" s="224" t="s">
        <v>15867</v>
      </c>
      <c r="P43" s="185" t="s">
        <v>484</v>
      </c>
      <c r="Q43" s="225" t="s">
        <v>15861</v>
      </c>
      <c r="R43" s="182" t="str">
        <f ca="1">IF(ISERROR($V43),"",OFFSET('Smelter Look-up'!$C$4,$V43-4,0)&amp;"")</f>
        <v>Mitsubishi Materials Corporation</v>
      </c>
      <c r="S43" s="181" t="str">
        <f t="shared" ca="1" si="24"/>
        <v>JP</v>
      </c>
      <c r="T43" s="181" t="str">
        <f ca="1">IF(B43="","",IF(ISERROR(MATCH($J43,SorP!$B$1:$B$6226,0)),"",INDIRECT("'SorP'!$A$"&amp;MATCH($S43&amp;$J43,SorP!C:C,0))))</f>
        <v>JP-13</v>
      </c>
      <c r="U43" s="201"/>
      <c r="V43" s="226">
        <f>IF(C43="",NA(),IF(OR(C43="Smelter not listed",C43="Smelter not yet identified"),MATCH($B43&amp;$D43,'Smelter Look-up'!$J:$J,0),MATCH($B43&amp;$C43,'Smelter Look-up'!$J:$J,0)))</f>
        <v>192</v>
      </c>
      <c r="X43" s="227">
        <f t="shared" si="25"/>
        <v>0</v>
      </c>
      <c r="AB43" s="228" t="str">
        <f t="shared" si="26"/>
        <v>GoldMitsubishi Materials Corporation</v>
      </c>
    </row>
    <row r="44" spans="1:28" s="227" customFormat="1" ht="38.25">
      <c r="A44" s="181" t="s">
        <v>768</v>
      </c>
      <c r="B44" s="182" t="s">
        <v>1120</v>
      </c>
      <c r="C44" s="186" t="s">
        <v>1024</v>
      </c>
      <c r="D44" s="230"/>
      <c r="E44" s="182" t="s">
        <v>870</v>
      </c>
      <c r="F44" s="182" t="s">
        <v>768</v>
      </c>
      <c r="G44" s="182" t="s">
        <v>13217</v>
      </c>
      <c r="H44" s="183">
        <v>0</v>
      </c>
      <c r="I44" s="184" t="s">
        <v>1771</v>
      </c>
      <c r="J44" s="184" t="s">
        <v>9093</v>
      </c>
      <c r="K44" s="224"/>
      <c r="L44" s="224"/>
      <c r="M44" s="224"/>
      <c r="N44" s="224"/>
      <c r="O44" s="224" t="s">
        <v>15874</v>
      </c>
      <c r="P44" s="185" t="s">
        <v>485</v>
      </c>
      <c r="Q44" s="225" t="s">
        <v>15859</v>
      </c>
      <c r="R44" s="182" t="str">
        <f ca="1">IF(ISERROR($V44),"",OFFSET('Smelter Look-up'!$C$4,$V44-4,0)&amp;"")</f>
        <v>Minsur</v>
      </c>
      <c r="S44" s="181" t="str">
        <f t="shared" ca="1" si="24"/>
        <v>PE</v>
      </c>
      <c r="T44" s="181" t="str">
        <f ca="1">IF(B44="","",IF(ISERROR(MATCH($J44,SorP!$B$1:$B$6226,0)),"",INDIRECT("'SorP'!$A$"&amp;MATCH($S44&amp;$J44,SorP!C:C,0))))</f>
        <v>PE-ICA</v>
      </c>
      <c r="U44" s="201"/>
      <c r="V44" s="226">
        <f>IF(C44="",NA(),IF(OR(C44="Smelter not listed",C44="Smelter not yet identified"),MATCH($B44&amp;$D44,'Smelter Look-up'!$J:$J,0),MATCH($B44&amp;$C44,'Smelter Look-up'!$J:$J,0)))</f>
        <v>487</v>
      </c>
      <c r="X44" s="227">
        <f t="shared" si="25"/>
        <v>0</v>
      </c>
      <c r="AB44" s="228" t="str">
        <f t="shared" si="26"/>
        <v>TinMinsur</v>
      </c>
    </row>
    <row r="45" spans="1:28" s="227" customFormat="1" ht="51">
      <c r="A45" s="181" t="s">
        <v>767</v>
      </c>
      <c r="B45" s="182" t="s">
        <v>1120</v>
      </c>
      <c r="C45" s="186" t="s">
        <v>12408</v>
      </c>
      <c r="D45" s="230"/>
      <c r="E45" s="182" t="s">
        <v>1086</v>
      </c>
      <c r="F45" s="182" t="s">
        <v>767</v>
      </c>
      <c r="G45" s="182" t="s">
        <v>13217</v>
      </c>
      <c r="H45" s="183">
        <v>0</v>
      </c>
      <c r="I45" s="184" t="s">
        <v>1769</v>
      </c>
      <c r="J45" s="184" t="s">
        <v>1666</v>
      </c>
      <c r="K45" s="224"/>
      <c r="L45" s="224"/>
      <c r="M45" s="224"/>
      <c r="N45" s="224"/>
      <c r="O45" s="224" t="s">
        <v>15875</v>
      </c>
      <c r="P45" s="185" t="s">
        <v>485</v>
      </c>
      <c r="Q45" s="225" t="s">
        <v>15859</v>
      </c>
      <c r="R45" s="182" t="str">
        <f ca="1">IF(ISERROR($V45),"",OFFSET('Smelter Look-up'!$C$4,$V45-4,0)&amp;"")</f>
        <v>Mineracao Taboca S.A.</v>
      </c>
      <c r="S45" s="181" t="str">
        <f t="shared" ca="1" si="24"/>
        <v>BR</v>
      </c>
      <c r="T45" s="181" t="str">
        <f ca="1">IF(B45="","",IF(ISERROR(MATCH($J45,SorP!$B$1:$B$6226,0)),"",INDIRECT("'SorP'!$A$"&amp;MATCH($S45&amp;$J45,SorP!C:C,0))))</f>
        <v>BR-SP</v>
      </c>
      <c r="U45" s="201"/>
      <c r="V45" s="226">
        <f>IF(C45="",NA(),IF(OR(C45="Smelter not listed",C45="Smelter not yet identified"),MATCH($B45&amp;$D45,'Smelter Look-up'!$J:$J,0),MATCH($B45&amp;$C45,'Smelter Look-up'!$J:$J,0)))</f>
        <v>482</v>
      </c>
      <c r="X45" s="227">
        <f t="shared" si="25"/>
        <v>0</v>
      </c>
      <c r="AB45" s="228" t="str">
        <f t="shared" si="26"/>
        <v>TinMineracao Taboca S.A.</v>
      </c>
    </row>
    <row r="46" spans="1:28" s="227" customFormat="1" ht="63.75">
      <c r="A46" s="181" t="s">
        <v>702</v>
      </c>
      <c r="B46" s="182" t="s">
        <v>1119</v>
      </c>
      <c r="C46" s="186" t="s">
        <v>1217</v>
      </c>
      <c r="D46" s="230"/>
      <c r="E46" s="182" t="s">
        <v>2415</v>
      </c>
      <c r="F46" s="182" t="s">
        <v>702</v>
      </c>
      <c r="G46" s="182" t="s">
        <v>13217</v>
      </c>
      <c r="H46" s="183">
        <v>0</v>
      </c>
      <c r="I46" s="184" t="s">
        <v>1616</v>
      </c>
      <c r="J46" s="184" t="s">
        <v>1617</v>
      </c>
      <c r="K46" s="224"/>
      <c r="L46" s="224"/>
      <c r="M46" s="224"/>
      <c r="N46" s="224"/>
      <c r="O46" s="224" t="s">
        <v>486</v>
      </c>
      <c r="P46" s="185" t="s">
        <v>485</v>
      </c>
      <c r="Q46" s="225" t="s">
        <v>15861</v>
      </c>
      <c r="R46" s="182" t="str">
        <f ca="1">IF(ISERROR($V46),"",OFFSET('Smelter Look-up'!$C$4,$V46-4,0)&amp;"")</f>
        <v>Metalor USA Refining Corporation</v>
      </c>
      <c r="S46" s="181" t="str">
        <f t="shared" ca="1" si="24"/>
        <v>US</v>
      </c>
      <c r="T46" s="181" t="str">
        <f ca="1">IF(B46="","",IF(ISERROR(MATCH($J46,SorP!$B$1:$B$6226,0)),"",INDIRECT("'SorP'!$A$"&amp;MATCH($S46&amp;$J46,SorP!C:C,0))))</f>
        <v>US-MA</v>
      </c>
      <c r="U46" s="201"/>
      <c r="V46" s="226">
        <f>IF(C46="",NA(),IF(OR(C46="Smelter not listed",C46="Smelter not yet identified"),MATCH($B46&amp;$D46,'Smelter Look-up'!$J:$J,0),MATCH($B46&amp;$C46,'Smelter Look-up'!$J:$J,0)))</f>
        <v>187</v>
      </c>
      <c r="X46" s="227">
        <f t="shared" si="25"/>
        <v>0</v>
      </c>
      <c r="AB46" s="228" t="str">
        <f t="shared" si="26"/>
        <v>GoldMetalor USA Refining Corporation</v>
      </c>
    </row>
    <row r="47" spans="1:28" s="227" customFormat="1" ht="63.75">
      <c r="A47" s="181" t="s">
        <v>701</v>
      </c>
      <c r="B47" s="182" t="s">
        <v>1119</v>
      </c>
      <c r="C47" s="186" t="s">
        <v>2288</v>
      </c>
      <c r="D47" s="230"/>
      <c r="E47" s="182" t="s">
        <v>1088</v>
      </c>
      <c r="F47" s="182" t="s">
        <v>701</v>
      </c>
      <c r="G47" s="182" t="s">
        <v>13217</v>
      </c>
      <c r="H47" s="183">
        <v>0</v>
      </c>
      <c r="I47" s="184" t="s">
        <v>1614</v>
      </c>
      <c r="J47" s="184" t="s">
        <v>1615</v>
      </c>
      <c r="K47" s="224"/>
      <c r="L47" s="224"/>
      <c r="M47" s="224"/>
      <c r="N47" s="224" t="s">
        <v>15867</v>
      </c>
      <c r="O47" s="224" t="s">
        <v>15868</v>
      </c>
      <c r="P47" s="185" t="s">
        <v>485</v>
      </c>
      <c r="Q47" s="225" t="s">
        <v>15861</v>
      </c>
      <c r="R47" s="182" t="str">
        <f ca="1">IF(ISERROR($V47),"",OFFSET('Smelter Look-up'!$C$4,$V47-4,0)&amp;"")</f>
        <v>Metalor Technologies S.A.</v>
      </c>
      <c r="S47" s="181" t="str">
        <f t="shared" ca="1" si="24"/>
        <v>CH</v>
      </c>
      <c r="T47" s="181" t="str">
        <f ca="1">IF(B47="","",IF(ISERROR(MATCH($J47,SorP!$B$1:$B$6226,0)),"",INDIRECT("'SorP'!$A$"&amp;MATCH($S47&amp;$J47,SorP!C:C,0))))</f>
        <v>CH-NE</v>
      </c>
      <c r="U47" s="201"/>
      <c r="V47" s="226">
        <f>IF(C47="",NA(),IF(OR(C47="Smelter not listed",C47="Smelter not yet identified"),MATCH($B47&amp;$D47,'Smelter Look-up'!$J:$J,0),MATCH($B47&amp;$C47,'Smelter Look-up'!$J:$J,0)))</f>
        <v>186</v>
      </c>
      <c r="X47" s="227">
        <f t="shared" si="25"/>
        <v>0</v>
      </c>
      <c r="AB47" s="228" t="str">
        <f t="shared" si="26"/>
        <v>GoldMetalor Technologies S.A.</v>
      </c>
    </row>
    <row r="48" spans="1:28" s="227" customFormat="1" ht="102">
      <c r="A48" s="181" t="s">
        <v>700</v>
      </c>
      <c r="B48" s="182" t="s">
        <v>1119</v>
      </c>
      <c r="C48" s="186" t="s">
        <v>2135</v>
      </c>
      <c r="D48" s="230"/>
      <c r="E48" s="182" t="s">
        <v>876</v>
      </c>
      <c r="F48" s="182" t="s">
        <v>700</v>
      </c>
      <c r="G48" s="182" t="s">
        <v>13217</v>
      </c>
      <c r="H48" s="183">
        <v>0</v>
      </c>
      <c r="I48" s="184" t="s">
        <v>12701</v>
      </c>
      <c r="J48" s="184" t="s">
        <v>10273</v>
      </c>
      <c r="K48" s="224"/>
      <c r="L48" s="224"/>
      <c r="M48" s="224"/>
      <c r="N48" s="224"/>
      <c r="O48" s="224" t="s">
        <v>15858</v>
      </c>
      <c r="P48" s="185" t="s">
        <v>485</v>
      </c>
      <c r="Q48" s="225" t="s">
        <v>15861</v>
      </c>
      <c r="R48" s="182" t="str">
        <f ca="1">IF(ISERROR($V48),"",OFFSET('Smelter Look-up'!$C$4,$V48-4,0)&amp;"")</f>
        <v>Metalor Technologies (Singapore) Pte., Ltd.</v>
      </c>
      <c r="S48" s="181" t="str">
        <f t="shared" ca="1" si="24"/>
        <v>SG</v>
      </c>
      <c r="T48" s="181" t="str">
        <f ca="1">IF(B48="","",IF(ISERROR(MATCH($J48,SorP!$B$1:$B$6226,0)),"",INDIRECT("'SorP'!$A$"&amp;MATCH($S48&amp;$J48,SorP!C:C,0))))</f>
        <v>SG-05</v>
      </c>
      <c r="U48" s="201"/>
      <c r="V48" s="226">
        <f>IF(C48="",NA(),IF(OR(C48="Smelter not listed",C48="Smelter not yet identified"),MATCH($B48&amp;$D48,'Smelter Look-up'!$J:$J,0),MATCH($B48&amp;$C48,'Smelter Look-up'!$J:$J,0)))</f>
        <v>184</v>
      </c>
      <c r="X48" s="227">
        <f t="shared" si="25"/>
        <v>0</v>
      </c>
      <c r="AB48" s="228" t="str">
        <f t="shared" si="26"/>
        <v>GoldMetalor Technologies (Singapore) Pte., Ltd.</v>
      </c>
    </row>
    <row r="49" spans="1:28" s="227" customFormat="1" ht="63.75">
      <c r="A49" s="181" t="s">
        <v>698</v>
      </c>
      <c r="B49" s="182" t="s">
        <v>1119</v>
      </c>
      <c r="C49" s="186" t="s">
        <v>54</v>
      </c>
      <c r="D49" s="230"/>
      <c r="E49" s="182" t="s">
        <v>1098</v>
      </c>
      <c r="F49" s="182" t="s">
        <v>698</v>
      </c>
      <c r="G49" s="182" t="s">
        <v>13217</v>
      </c>
      <c r="H49" s="183">
        <v>0</v>
      </c>
      <c r="I49" s="184" t="s">
        <v>1610</v>
      </c>
      <c r="J49" s="184" t="s">
        <v>1573</v>
      </c>
      <c r="K49" s="224"/>
      <c r="L49" s="224"/>
      <c r="M49" s="224"/>
      <c r="N49" s="224" t="s">
        <v>15867</v>
      </c>
      <c r="O49" s="224" t="s">
        <v>15867</v>
      </c>
      <c r="P49" s="185" t="s">
        <v>484</v>
      </c>
      <c r="Q49" s="225" t="s">
        <v>15861</v>
      </c>
      <c r="R49" s="182" t="str">
        <f ca="1">IF(ISERROR($V49),"",OFFSET('Smelter Look-up'!$C$4,$V49-4,0)&amp;"")</f>
        <v>Matsuda Sangyo Co., Ltd.</v>
      </c>
      <c r="S49" s="181" t="str">
        <f t="shared" ca="1" si="24"/>
        <v>JP</v>
      </c>
      <c r="T49" s="181" t="str">
        <f ca="1">IF(B49="","",IF(ISERROR(MATCH($J49,SorP!$B$1:$B$6226,0)),"",INDIRECT("'SorP'!$A$"&amp;MATCH($S49&amp;$J49,SorP!C:C,0))))</f>
        <v>JP-11</v>
      </c>
      <c r="U49" s="201"/>
      <c r="V49" s="226">
        <f>IF(C49="",NA(),IF(OR(C49="Smelter not listed",C49="Smelter not yet identified"),MATCH($B49&amp;$D49,'Smelter Look-up'!$J:$J,0),MATCH($B49&amp;$C49,'Smelter Look-up'!$J:$J,0)))</f>
        <v>175</v>
      </c>
      <c r="X49" s="227">
        <f t="shared" si="25"/>
        <v>0</v>
      </c>
      <c r="AB49" s="228" t="str">
        <f t="shared" si="26"/>
        <v>GoldMatsuda Sangyo Co., Ltd.</v>
      </c>
    </row>
    <row r="50" spans="1:28" s="227" customFormat="1" ht="76.5">
      <c r="A50" s="181" t="s">
        <v>766</v>
      </c>
      <c r="B50" s="182" t="s">
        <v>1120</v>
      </c>
      <c r="C50" s="186" t="s">
        <v>811</v>
      </c>
      <c r="D50" s="230"/>
      <c r="E50" s="182" t="s">
        <v>1105</v>
      </c>
      <c r="F50" s="182" t="s">
        <v>766</v>
      </c>
      <c r="G50" s="182" t="s">
        <v>13217</v>
      </c>
      <c r="H50" s="183">
        <v>0</v>
      </c>
      <c r="I50" s="184" t="s">
        <v>1766</v>
      </c>
      <c r="J50" s="184" t="s">
        <v>8666</v>
      </c>
      <c r="K50" s="224"/>
      <c r="L50" s="224"/>
      <c r="M50" s="224"/>
      <c r="N50" s="224"/>
      <c r="O50" s="224" t="s">
        <v>15869</v>
      </c>
      <c r="P50" s="185" t="s">
        <v>485</v>
      </c>
      <c r="Q50" s="225" t="s">
        <v>15859</v>
      </c>
      <c r="R50" s="182" t="str">
        <f ca="1">IF(ISERROR($V50),"",OFFSET('Smelter Look-up'!$C$4,$V50-4,0)&amp;"")</f>
        <v>Malaysia Smelting Corporation (MSC)</v>
      </c>
      <c r="S50" s="181" t="str">
        <f t="shared" ref="S50:S59" ca="1" si="27">IF(B50="","",IF(ISERROR(MATCH($E50,CL,0)),"Unknown",INDIRECT("'C'!$A$"&amp;MATCH($E50,CL,0)+1)))</f>
        <v>MY</v>
      </c>
      <c r="T50" s="181" t="str">
        <f ca="1">IF(B50="","",IF(ISERROR(MATCH($J50,SorP!$B$1:$B$6226,0)),"",INDIRECT("'SorP'!$A$"&amp;MATCH($S50&amp;$J50,SorP!C:C,0))))</f>
        <v>MY-07</v>
      </c>
      <c r="U50" s="201"/>
      <c r="V50" s="226">
        <f>IF(C50="",NA(),IF(OR(C50="Smelter not listed",C50="Smelter not yet identified"),MATCH($B50&amp;$D50,'Smelter Look-up'!$J:$J,0),MATCH($B50&amp;$C50,'Smelter Look-up'!$J:$J,0)))</f>
        <v>474</v>
      </c>
      <c r="X50" s="227">
        <f t="shared" ref="X50:X59" si="28">IF(AND(C50="Smelter not listed",OR(LEN(D50)=0,LEN(E50)=0)),1,0)</f>
        <v>0</v>
      </c>
      <c r="AB50" s="228" t="str">
        <f t="shared" ref="AB50:AB59" si="29">B50&amp;C50</f>
        <v>TinMalaysia Smelting Corporation (MSC)</v>
      </c>
    </row>
    <row r="51" spans="1:28" s="227" customFormat="1" ht="38.25">
      <c r="A51" s="181" t="s">
        <v>694</v>
      </c>
      <c r="B51" s="182" t="s">
        <v>1119</v>
      </c>
      <c r="C51" s="186" t="s">
        <v>15791</v>
      </c>
      <c r="D51" s="230"/>
      <c r="E51" s="182" t="s">
        <v>1101</v>
      </c>
      <c r="F51" s="182" t="s">
        <v>694</v>
      </c>
      <c r="G51" s="182" t="s">
        <v>13217</v>
      </c>
      <c r="H51" s="183">
        <v>0</v>
      </c>
      <c r="I51" s="184" t="s">
        <v>1605</v>
      </c>
      <c r="J51" s="184" t="s">
        <v>12845</v>
      </c>
      <c r="K51" s="224"/>
      <c r="L51" s="224"/>
      <c r="M51" s="224"/>
      <c r="N51" s="224" t="s">
        <v>15867</v>
      </c>
      <c r="O51" s="224" t="s">
        <v>15868</v>
      </c>
      <c r="P51" s="185" t="s">
        <v>485</v>
      </c>
      <c r="Q51" s="225" t="s">
        <v>15861</v>
      </c>
      <c r="R51" s="182" t="str">
        <f ca="1">IF(ISERROR($V51),"",OFFSET('Smelter Look-up'!$C$4,$V51-4,0)&amp;"")</f>
        <v>LS MnM Inc.</v>
      </c>
      <c r="S51" s="181" t="str">
        <f t="shared" ca="1" si="27"/>
        <v>KR</v>
      </c>
      <c r="T51" s="181" t="str">
        <f ca="1">IF(B51="","",IF(ISERROR(MATCH($J51,SorP!$B$1:$B$6226,0)),"",INDIRECT("'SorP'!$A$"&amp;MATCH($S51&amp;$J51,SorP!C:C,0))))</f>
        <v>KR-31</v>
      </c>
      <c r="U51" s="201"/>
      <c r="V51" s="226">
        <f>IF(C51="",NA(),IF(OR(C51="Smelter not listed",C51="Smelter not yet identified"),MATCH($B51&amp;$D51,'Smelter Look-up'!$J:$J,0),MATCH($B51&amp;$C51,'Smelter Look-up'!$J:$J,0)))</f>
        <v>168</v>
      </c>
      <c r="X51" s="227">
        <f t="shared" si="28"/>
        <v>0</v>
      </c>
      <c r="AB51" s="228" t="str">
        <f t="shared" si="29"/>
        <v>GoldLS MnM Inc.</v>
      </c>
    </row>
    <row r="52" spans="1:28" s="227" customFormat="1" ht="63.75">
      <c r="A52" s="181" t="s">
        <v>765</v>
      </c>
      <c r="B52" s="182" t="s">
        <v>1120</v>
      </c>
      <c r="C52" s="186" t="s">
        <v>1315</v>
      </c>
      <c r="D52" s="230"/>
      <c r="E52" s="182" t="s">
        <v>1090</v>
      </c>
      <c r="F52" s="182" t="s">
        <v>765</v>
      </c>
      <c r="G52" s="182" t="s">
        <v>13217</v>
      </c>
      <c r="H52" s="183">
        <v>0</v>
      </c>
      <c r="I52" s="184" t="s">
        <v>1761</v>
      </c>
      <c r="J52" s="184" t="s">
        <v>13580</v>
      </c>
      <c r="K52" s="224"/>
      <c r="L52" s="224"/>
      <c r="M52" s="224"/>
      <c r="N52" s="224"/>
      <c r="O52" s="224" t="s">
        <v>15855</v>
      </c>
      <c r="P52" s="185" t="s">
        <v>485</v>
      </c>
      <c r="Q52" s="225" t="s">
        <v>15859</v>
      </c>
      <c r="R52" s="182" t="str">
        <f ca="1">IF(ISERROR($V52),"",OFFSET('Smelter Look-up'!$C$4,$V52-4,0)&amp;"")</f>
        <v>China Tin Group Co., Ltd.</v>
      </c>
      <c r="S52" s="181" t="str">
        <f t="shared" ca="1" si="27"/>
        <v>CN</v>
      </c>
      <c r="T52" s="181" t="str">
        <f ca="1">IF(B52="","",IF(ISERROR(MATCH($J52,SorP!$B$1:$B$6226,0)),"",INDIRECT("'SorP'!$A$"&amp;MATCH($S52&amp;$J52,SorP!C:C,0))))</f>
        <v>CN-GX</v>
      </c>
      <c r="U52" s="201"/>
      <c r="V52" s="226">
        <f>IF(C52="",NA(),IF(OR(C52="Smelter not listed",C52="Smelter not yet identified"),MATCH($B52&amp;$D52,'Smelter Look-up'!$J:$J,0),MATCH($B52&amp;$C52,'Smelter Look-up'!$J:$J,0)))</f>
        <v>414</v>
      </c>
      <c r="X52" s="227">
        <f t="shared" si="28"/>
        <v>0</v>
      </c>
      <c r="AB52" s="228" t="str">
        <f t="shared" si="29"/>
        <v>TinChina Tin Group Co., Ltd.</v>
      </c>
    </row>
    <row r="53" spans="1:28" s="227" customFormat="1" ht="63.75">
      <c r="A53" s="181" t="s">
        <v>690</v>
      </c>
      <c r="B53" s="182" t="s">
        <v>1119</v>
      </c>
      <c r="C53" s="186" t="s">
        <v>2131</v>
      </c>
      <c r="D53" s="230"/>
      <c r="E53" s="182" t="s">
        <v>1098</v>
      </c>
      <c r="F53" s="182" t="s">
        <v>690</v>
      </c>
      <c r="G53" s="182" t="s">
        <v>13217</v>
      </c>
      <c r="H53" s="183">
        <v>0</v>
      </c>
      <c r="I53" s="184" t="s">
        <v>1600</v>
      </c>
      <c r="J53" s="184" t="s">
        <v>1573</v>
      </c>
      <c r="K53" s="224"/>
      <c r="L53" s="224"/>
      <c r="M53" s="224"/>
      <c r="N53" s="224" t="s">
        <v>15867</v>
      </c>
      <c r="O53" s="224" t="s">
        <v>15867</v>
      </c>
      <c r="P53" s="185" t="s">
        <v>484</v>
      </c>
      <c r="Q53" s="225" t="s">
        <v>15861</v>
      </c>
      <c r="R53" s="182" t="str">
        <f ca="1">IF(ISERROR($V53),"",OFFSET('Smelter Look-up'!$C$4,$V53-4,0)&amp;"")</f>
        <v>Kojima Chemicals Co., Ltd.</v>
      </c>
      <c r="S53" s="181" t="str">
        <f t="shared" ca="1" si="27"/>
        <v>JP</v>
      </c>
      <c r="T53" s="181" t="str">
        <f ca="1">IF(B53="","",IF(ISERROR(MATCH($J53,SorP!$B$1:$B$6226,0)),"",INDIRECT("'SorP'!$A$"&amp;MATCH($S53&amp;$J53,SorP!C:C,0))))</f>
        <v>JP-11</v>
      </c>
      <c r="U53" s="201"/>
      <c r="V53" s="226">
        <f>IF(C53="",NA(),IF(OR(C53="Smelter not listed",C53="Smelter not yet identified"),MATCH($B53&amp;$D53,'Smelter Look-up'!$J:$J,0),MATCH($B53&amp;$C53,'Smelter Look-up'!$J:$J,0)))</f>
        <v>151</v>
      </c>
      <c r="X53" s="227">
        <f t="shared" si="28"/>
        <v>0</v>
      </c>
      <c r="AB53" s="228" t="str">
        <f t="shared" si="29"/>
        <v>GoldKojima Chemicals Co., Ltd.</v>
      </c>
    </row>
    <row r="54" spans="1:28" s="227" customFormat="1" ht="76.5">
      <c r="A54" s="181" t="s">
        <v>686</v>
      </c>
      <c r="B54" s="182" t="s">
        <v>1119</v>
      </c>
      <c r="C54" s="186" t="s">
        <v>53</v>
      </c>
      <c r="D54" s="230"/>
      <c r="E54" s="182" t="s">
        <v>1098</v>
      </c>
      <c r="F54" s="182" t="s">
        <v>686</v>
      </c>
      <c r="G54" s="182" t="s">
        <v>13217</v>
      </c>
      <c r="H54" s="183">
        <v>0</v>
      </c>
      <c r="I54" s="184" t="s">
        <v>2345</v>
      </c>
      <c r="J54" s="184" t="s">
        <v>6642</v>
      </c>
      <c r="K54" s="224"/>
      <c r="L54" s="224"/>
      <c r="M54" s="224"/>
      <c r="N54" s="224" t="s">
        <v>15867</v>
      </c>
      <c r="O54" s="224" t="s">
        <v>15867</v>
      </c>
      <c r="P54" s="185" t="s">
        <v>484</v>
      </c>
      <c r="Q54" s="225" t="s">
        <v>15861</v>
      </c>
      <c r="R54" s="182" t="str">
        <f ca="1">IF(ISERROR($V54),"",OFFSET('Smelter Look-up'!$C$4,$V54-4,0)&amp;"")</f>
        <v>JX Nippon Mining &amp; Metals Co., Ltd.</v>
      </c>
      <c r="S54" s="181" t="str">
        <f t="shared" ca="1" si="27"/>
        <v>JP</v>
      </c>
      <c r="T54" s="181" t="str">
        <f ca="1">IF(B54="","",IF(ISERROR(MATCH($J54,SorP!$B$1:$B$6226,0)),"",INDIRECT("'SorP'!$A$"&amp;MATCH($S54&amp;$J54,SorP!C:C,0))))</f>
        <v>JP-44</v>
      </c>
      <c r="U54" s="201"/>
      <c r="V54" s="226">
        <f>IF(C54="",NA(),IF(OR(C54="Smelter not listed",C54="Smelter not yet identified"),MATCH($B54&amp;$D54,'Smelter Look-up'!$J:$J,0),MATCH($B54&amp;$C54,'Smelter Look-up'!$J:$J,0)))</f>
        <v>141</v>
      </c>
      <c r="X54" s="227">
        <f t="shared" si="28"/>
        <v>0</v>
      </c>
      <c r="AB54" s="228" t="str">
        <f t="shared" si="29"/>
        <v>GoldJX Nippon Mining &amp; Metals Co., Ltd.</v>
      </c>
    </row>
    <row r="55" spans="1:28" s="227" customFormat="1" ht="63.75">
      <c r="A55" s="181" t="s">
        <v>683</v>
      </c>
      <c r="B55" s="182" t="s">
        <v>1119</v>
      </c>
      <c r="C55" s="186" t="s">
        <v>2269</v>
      </c>
      <c r="D55" s="230"/>
      <c r="E55" s="182" t="s">
        <v>1087</v>
      </c>
      <c r="F55" s="182" t="s">
        <v>683</v>
      </c>
      <c r="G55" s="182" t="s">
        <v>13217</v>
      </c>
      <c r="H55" s="183">
        <v>0</v>
      </c>
      <c r="I55" s="184" t="s">
        <v>1594</v>
      </c>
      <c r="J55" s="184" t="s">
        <v>1595</v>
      </c>
      <c r="K55" s="224"/>
      <c r="L55" s="224"/>
      <c r="M55" s="224"/>
      <c r="N55" s="224"/>
      <c r="O55" s="224" t="s">
        <v>486</v>
      </c>
      <c r="P55" s="185" t="s">
        <v>485</v>
      </c>
      <c r="Q55" s="225" t="s">
        <v>15861</v>
      </c>
      <c r="R55" s="182" t="str">
        <f ca="1">IF(ISERROR($V55),"",OFFSET('Smelter Look-up'!$C$4,$V55-4,0)&amp;"")</f>
        <v>Asahi Refining Canada Ltd.</v>
      </c>
      <c r="S55" s="181" t="str">
        <f t="shared" ca="1" si="27"/>
        <v>CA</v>
      </c>
      <c r="T55" s="181" t="str">
        <f ca="1">IF(B55="","",IF(ISERROR(MATCH($J55,SorP!$B$1:$B$6226,0)),"",INDIRECT("'SorP'!$A$"&amp;MATCH($S55&amp;$J55,SorP!C:C,0))))</f>
        <v>CA-ON</v>
      </c>
      <c r="U55" s="201"/>
      <c r="V55" s="226">
        <f>IF(C55="",NA(),IF(OR(C55="Smelter not listed",C55="Smelter not yet identified"),MATCH($B55&amp;$D55,'Smelter Look-up'!$J:$J,0),MATCH($B55&amp;$C55,'Smelter Look-up'!$J:$J,0)))</f>
        <v>30</v>
      </c>
      <c r="X55" s="227">
        <f t="shared" si="28"/>
        <v>0</v>
      </c>
      <c r="AB55" s="228" t="str">
        <f t="shared" si="29"/>
        <v>GoldAsahi Refining Canada Ltd.</v>
      </c>
    </row>
    <row r="56" spans="1:28" s="227" customFormat="1" ht="63.75">
      <c r="A56" s="181" t="s">
        <v>682</v>
      </c>
      <c r="B56" s="182" t="s">
        <v>1119</v>
      </c>
      <c r="C56" s="186" t="s">
        <v>2184</v>
      </c>
      <c r="D56" s="230"/>
      <c r="E56" s="182" t="s">
        <v>2415</v>
      </c>
      <c r="F56" s="182" t="s">
        <v>682</v>
      </c>
      <c r="G56" s="182" t="s">
        <v>13217</v>
      </c>
      <c r="H56" s="183">
        <v>0</v>
      </c>
      <c r="I56" s="184" t="s">
        <v>1591</v>
      </c>
      <c r="J56" s="184" t="s">
        <v>1592</v>
      </c>
      <c r="K56" s="224"/>
      <c r="L56" s="224"/>
      <c r="M56" s="224"/>
      <c r="N56" s="224" t="s">
        <v>15867</v>
      </c>
      <c r="O56" s="224" t="s">
        <v>15868</v>
      </c>
      <c r="P56" s="185" t="s">
        <v>485</v>
      </c>
      <c r="Q56" s="225" t="s">
        <v>15861</v>
      </c>
      <c r="R56" s="182" t="str">
        <f ca="1">IF(ISERROR($V56),"",OFFSET('Smelter Look-up'!$C$4,$V56-4,0)&amp;"")</f>
        <v>Asahi Refining USA Inc.</v>
      </c>
      <c r="S56" s="181" t="str">
        <f t="shared" ca="1" si="27"/>
        <v>US</v>
      </c>
      <c r="T56" s="181" t="str">
        <f ca="1">IF(B56="","",IF(ISERROR(MATCH($J56,SorP!$B$1:$B$6226,0)),"",INDIRECT("'SorP'!$A$"&amp;MATCH($S56&amp;$J56,SorP!C:C,0))))</f>
        <v>US-UT</v>
      </c>
      <c r="U56" s="201"/>
      <c r="V56" s="226">
        <f>IF(C56="",NA(),IF(OR(C56="Smelter not listed",C56="Smelter not yet identified"),MATCH($B56&amp;$D56,'Smelter Look-up'!$J:$J,0),MATCH($B56&amp;$C56,'Smelter Look-up'!$J:$J,0)))</f>
        <v>31</v>
      </c>
      <c r="X56" s="227">
        <f t="shared" si="28"/>
        <v>0</v>
      </c>
      <c r="AB56" s="228" t="str">
        <f t="shared" si="29"/>
        <v>GoldAsahi Refining USA Inc.</v>
      </c>
    </row>
    <row r="57" spans="1:28" s="227" customFormat="1" ht="76.5">
      <c r="A57" s="181" t="s">
        <v>745</v>
      </c>
      <c r="B57" s="182" t="s">
        <v>1121</v>
      </c>
      <c r="C57" s="186" t="s">
        <v>44</v>
      </c>
      <c r="D57" s="230"/>
      <c r="E57" s="182" t="s">
        <v>1090</v>
      </c>
      <c r="F57" s="182" t="s">
        <v>745</v>
      </c>
      <c r="G57" s="182" t="s">
        <v>13217</v>
      </c>
      <c r="H57" s="183">
        <v>0</v>
      </c>
      <c r="I57" s="184" t="s">
        <v>1708</v>
      </c>
      <c r="J57" s="184" t="s">
        <v>13596</v>
      </c>
      <c r="K57" s="224"/>
      <c r="L57" s="224"/>
      <c r="M57" s="224"/>
      <c r="N57" s="224"/>
      <c r="O57" s="224" t="s">
        <v>15858</v>
      </c>
      <c r="P57" s="185" t="s">
        <v>485</v>
      </c>
      <c r="Q57" s="225" t="s">
        <v>15863</v>
      </c>
      <c r="R57" s="182" t="str">
        <f ca="1">IF(ISERROR($V57),"",OFFSET('Smelter Look-up'!$C$4,$V57-4,0)&amp;"")</f>
        <v>Jiujiang Tanbre Co., Ltd.</v>
      </c>
      <c r="S57" s="181" t="str">
        <f t="shared" ca="1" si="27"/>
        <v>CN</v>
      </c>
      <c r="T57" s="181" t="str">
        <f ca="1">IF(B57="","",IF(ISERROR(MATCH($J57,SorP!$B$1:$B$6226,0)),"",INDIRECT("'SorP'!$A$"&amp;MATCH($S57&amp;$J57,SorP!C:C,0))))</f>
        <v>CN-JX</v>
      </c>
      <c r="U57" s="201"/>
      <c r="V57" s="226">
        <f>IF(C57="",NA(),IF(OR(C57="Smelter not listed",C57="Smelter not yet identified"),MATCH($B57&amp;$D57,'Smelter Look-up'!$J:$J,0),MATCH($B57&amp;$C57,'Smelter Look-up'!$J:$J,0)))</f>
        <v>354</v>
      </c>
      <c r="X57" s="227">
        <f t="shared" si="28"/>
        <v>0</v>
      </c>
      <c r="AB57" s="228" t="str">
        <f t="shared" si="29"/>
        <v>TantalumJiujiang Tanbre Co., Ltd.</v>
      </c>
    </row>
    <row r="58" spans="1:28" s="227" customFormat="1" ht="102">
      <c r="A58" s="181" t="s">
        <v>744</v>
      </c>
      <c r="B58" s="182" t="s">
        <v>1121</v>
      </c>
      <c r="C58" s="186" t="s">
        <v>2</v>
      </c>
      <c r="D58" s="230"/>
      <c r="E58" s="182" t="s">
        <v>1090</v>
      </c>
      <c r="F58" s="182" t="s">
        <v>744</v>
      </c>
      <c r="G58" s="182" t="s">
        <v>13217</v>
      </c>
      <c r="H58" s="183">
        <v>0</v>
      </c>
      <c r="I58" s="184" t="s">
        <v>1708</v>
      </c>
      <c r="J58" s="184" t="s">
        <v>13596</v>
      </c>
      <c r="K58" s="224"/>
      <c r="L58" s="224"/>
      <c r="M58" s="224"/>
      <c r="N58" s="224"/>
      <c r="O58" s="224" t="s">
        <v>15865</v>
      </c>
      <c r="P58" s="185" t="s">
        <v>485</v>
      </c>
      <c r="Q58" s="225" t="s">
        <v>15863</v>
      </c>
      <c r="R58" s="182" t="str">
        <f ca="1">IF(ISERROR($V58),"",OFFSET('Smelter Look-up'!$C$4,$V58-4,0)&amp;"")</f>
        <v>JiuJiang JinXin Nonferrous Metals Co., Ltd.</v>
      </c>
      <c r="S58" s="181" t="str">
        <f t="shared" ca="1" si="27"/>
        <v>CN</v>
      </c>
      <c r="T58" s="181" t="str">
        <f ca="1">IF(B58="","",IF(ISERROR(MATCH($J58,SorP!$B$1:$B$6226,0)),"",INDIRECT("'SorP'!$A$"&amp;MATCH($S58&amp;$J58,SorP!C:C,0))))</f>
        <v>CN-JX</v>
      </c>
      <c r="U58" s="201"/>
      <c r="V58" s="226">
        <f>IF(C58="",NA(),IF(OR(C58="Smelter not listed",C58="Smelter not yet identified"),MATCH($B58&amp;$D58,'Smelter Look-up'!$J:$J,0),MATCH($B58&amp;$C58,'Smelter Look-up'!$J:$J,0)))</f>
        <v>352</v>
      </c>
      <c r="X58" s="227">
        <f t="shared" si="28"/>
        <v>0</v>
      </c>
      <c r="AB58" s="228" t="str">
        <f t="shared" si="29"/>
        <v>TantalumJiuJiang JinXin Nonferrous Metals Co., Ltd.</v>
      </c>
    </row>
    <row r="59" spans="1:28" s="227" customFormat="1" ht="76.5">
      <c r="A59" s="181" t="s">
        <v>790</v>
      </c>
      <c r="B59" s="182" t="s">
        <v>1122</v>
      </c>
      <c r="C59" s="186" t="s">
        <v>1370</v>
      </c>
      <c r="D59" s="230"/>
      <c r="E59" s="182" t="s">
        <v>1098</v>
      </c>
      <c r="F59" s="182" t="s">
        <v>790</v>
      </c>
      <c r="G59" s="182" t="s">
        <v>13217</v>
      </c>
      <c r="H59" s="183">
        <v>0</v>
      </c>
      <c r="I59" s="184" t="s">
        <v>2119</v>
      </c>
      <c r="J59" s="184" t="s">
        <v>1568</v>
      </c>
      <c r="K59" s="224"/>
      <c r="L59" s="224"/>
      <c r="M59" s="224"/>
      <c r="N59" s="224"/>
      <c r="O59" s="224" t="s">
        <v>15858</v>
      </c>
      <c r="P59" s="185" t="s">
        <v>485</v>
      </c>
      <c r="Q59" s="225" t="s">
        <v>15862</v>
      </c>
      <c r="R59" s="182" t="str">
        <f ca="1">IF(ISERROR($V59),"",OFFSET('Smelter Look-up'!$C$4,$V59-4,0)&amp;"")</f>
        <v>Japan New Metals Co., Ltd.</v>
      </c>
      <c r="S59" s="181" t="str">
        <f t="shared" ca="1" si="27"/>
        <v>JP</v>
      </c>
      <c r="T59" s="181" t="str">
        <f ca="1">IF(B59="","",IF(ISERROR(MATCH($J59,SorP!$B$1:$B$6226,0)),"",INDIRECT("'SorP'!$A$"&amp;MATCH($S59&amp;$J59,SorP!C:C,0))))</f>
        <v>JP-05</v>
      </c>
      <c r="U59" s="201"/>
      <c r="V59" s="226">
        <f>IF(C59="",NA(),IF(OR(C59="Smelter not listed",C59="Smelter not yet identified"),MATCH($B59&amp;$D59,'Smelter Look-up'!$J:$J,0),MATCH($B59&amp;$C59,'Smelter Look-up'!$J:$J,0)))</f>
        <v>619</v>
      </c>
      <c r="X59" s="227">
        <f t="shared" si="28"/>
        <v>0</v>
      </c>
      <c r="AB59" s="228" t="str">
        <f t="shared" si="29"/>
        <v>TungstenJapan New Metals Co., Ltd.</v>
      </c>
    </row>
    <row r="60" spans="1:28" s="227" customFormat="1" ht="76.5">
      <c r="A60" s="181" t="s">
        <v>678</v>
      </c>
      <c r="B60" s="182" t="s">
        <v>1119</v>
      </c>
      <c r="C60" s="186" t="s">
        <v>1216</v>
      </c>
      <c r="D60" s="230"/>
      <c r="E60" s="182" t="s">
        <v>1098</v>
      </c>
      <c r="F60" s="182" t="s">
        <v>678</v>
      </c>
      <c r="G60" s="182" t="s">
        <v>13217</v>
      </c>
      <c r="H60" s="183">
        <v>0</v>
      </c>
      <c r="I60" s="184" t="s">
        <v>1586</v>
      </c>
      <c r="J60" s="184" t="s">
        <v>1573</v>
      </c>
      <c r="K60" s="224"/>
      <c r="L60" s="224"/>
      <c r="M60" s="224"/>
      <c r="N60" s="224" t="s">
        <v>15867</v>
      </c>
      <c r="O60" s="224" t="s">
        <v>15868</v>
      </c>
      <c r="P60" s="185" t="s">
        <v>485</v>
      </c>
      <c r="Q60" s="225" t="s">
        <v>15861</v>
      </c>
      <c r="R60" s="182" t="str">
        <f ca="1">IF(ISERROR($V60),"",OFFSET('Smelter Look-up'!$C$4,$V60-4,0)&amp;"")</f>
        <v>Ishifuku Metal Industry Co., Ltd.</v>
      </c>
      <c r="S60" s="181" t="str">
        <f t="shared" ref="S60" ca="1" si="30">IF(B60="","",IF(ISERROR(MATCH($E60,CL,0)),"Unknown",INDIRECT("'C'!$A$"&amp;MATCH($E60,CL,0)+1)))</f>
        <v>JP</v>
      </c>
      <c r="T60" s="181" t="str">
        <f ca="1">IF(B60="","",IF(ISERROR(MATCH($J60,SorP!$B$1:$B$6226,0)),"",INDIRECT("'SorP'!$A$"&amp;MATCH($S60&amp;$J60,SorP!C:C,0))))</f>
        <v>JP-11</v>
      </c>
      <c r="U60" s="201"/>
      <c r="V60" s="226">
        <f>IF(C60="",NA(),IF(OR(C60="Smelter not listed",C60="Smelter not yet identified"),MATCH($B60&amp;$D60,'Smelter Look-up'!$J:$J,0),MATCH($B60&amp;$C60,'Smelter Look-up'!$J:$J,0)))</f>
        <v>127</v>
      </c>
      <c r="X60" s="227">
        <f t="shared" ref="X60" si="31">IF(AND(C60="Smelter not listed",OR(LEN(D60)=0,LEN(E60)=0)),1,0)</f>
        <v>0</v>
      </c>
      <c r="AB60" s="228" t="str">
        <f t="shared" ref="AB60" si="32">B60&amp;C60</f>
        <v>GoldIshifuku Metal Industry Co., Ltd.</v>
      </c>
    </row>
    <row r="61" spans="1:28" s="227" customFormat="1" ht="76.5">
      <c r="A61" s="181" t="s">
        <v>673</v>
      </c>
      <c r="B61" s="182" t="s">
        <v>1119</v>
      </c>
      <c r="C61" s="186" t="s">
        <v>2483</v>
      </c>
      <c r="D61" s="230"/>
      <c r="E61" s="182" t="s">
        <v>1090</v>
      </c>
      <c r="F61" s="182" t="s">
        <v>673</v>
      </c>
      <c r="G61" s="182" t="s">
        <v>13217</v>
      </c>
      <c r="H61" s="183">
        <v>0</v>
      </c>
      <c r="I61" s="184" t="s">
        <v>1581</v>
      </c>
      <c r="J61" s="184" t="s">
        <v>15779</v>
      </c>
      <c r="K61" s="224"/>
      <c r="L61" s="224"/>
      <c r="M61" s="224"/>
      <c r="N61" s="224" t="s">
        <v>15867</v>
      </c>
      <c r="O61" s="224" t="s">
        <v>15868</v>
      </c>
      <c r="P61" s="185" t="s">
        <v>485</v>
      </c>
      <c r="Q61" s="225" t="s">
        <v>15861</v>
      </c>
      <c r="R61" s="182" t="str">
        <f ca="1">IF(ISERROR($V61),"",OFFSET('Smelter Look-up'!$C$4,$V61-4,0)&amp;"")</f>
        <v>Heraeus Metals Hong Kong Ltd.</v>
      </c>
      <c r="S61" s="181" t="str">
        <f t="shared" ref="S61:S68" ca="1" si="33">IF(B61="","",IF(ISERROR(MATCH($E61,CL,0)),"Unknown",INDIRECT("'C'!$A$"&amp;MATCH($E61,CL,0)+1)))</f>
        <v>CN</v>
      </c>
      <c r="T61" s="181" t="str">
        <f ca="1">IF(B61="","",IF(ISERROR(MATCH($J61,SorP!$B$1:$B$6226,0)),"",INDIRECT("'SorP'!$A$"&amp;MATCH($S61&amp;$J61,SorP!C:C,0))))</f>
        <v>CN-HK</v>
      </c>
      <c r="U61" s="201"/>
      <c r="V61" s="226">
        <f>IF(C61="",NA(),IF(OR(C61="Smelter not listed",C61="Smelter not yet identified"),MATCH($B61&amp;$D61,'Smelter Look-up'!$J:$J,0),MATCH($B61&amp;$C61,'Smelter Look-up'!$J:$J,0)))</f>
        <v>111</v>
      </c>
      <c r="X61" s="227">
        <f t="shared" ref="X61:X68" si="34">IF(AND(C61="Smelter not listed",OR(LEN(D61)=0,LEN(E61)=0)),1,0)</f>
        <v>0</v>
      </c>
      <c r="AB61" s="228" t="str">
        <f t="shared" ref="AB61:AB68" si="35">B61&amp;C61</f>
        <v>GoldHeraeus Metals Hong Kong Ltd.</v>
      </c>
    </row>
    <row r="62" spans="1:28" s="227" customFormat="1" ht="89.25">
      <c r="A62" s="181" t="s">
        <v>743</v>
      </c>
      <c r="B62" s="182" t="s">
        <v>1121</v>
      </c>
      <c r="C62" s="186" t="s">
        <v>15047</v>
      </c>
      <c r="D62" s="230"/>
      <c r="E62" s="182" t="s">
        <v>1090</v>
      </c>
      <c r="F62" s="182" t="s">
        <v>743</v>
      </c>
      <c r="G62" s="182" t="s">
        <v>13217</v>
      </c>
      <c r="H62" s="183">
        <v>0</v>
      </c>
      <c r="I62" s="184" t="s">
        <v>1707</v>
      </c>
      <c r="J62" s="184" t="s">
        <v>13601</v>
      </c>
      <c r="K62" s="224"/>
      <c r="L62" s="224"/>
      <c r="M62" s="224"/>
      <c r="N62" s="224"/>
      <c r="O62" s="224" t="s">
        <v>15865</v>
      </c>
      <c r="P62" s="185" t="s">
        <v>485</v>
      </c>
      <c r="Q62" s="225" t="s">
        <v>15863</v>
      </c>
      <c r="R62" s="182" t="str">
        <f ca="1">IF(ISERROR($V62),"",OFFSET('Smelter Look-up'!$C$4,$V62-4,0)&amp;"")</f>
        <v>XIMEI RESOURCES (GUANGDONG) LIMITED</v>
      </c>
      <c r="S62" s="181" t="str">
        <f t="shared" ca="1" si="33"/>
        <v>CN</v>
      </c>
      <c r="T62" s="181" t="str">
        <f ca="1">IF(B62="","",IF(ISERROR(MATCH($J62,SorP!$B$1:$B$6226,0)),"",INDIRECT("'SorP'!$A$"&amp;MATCH($S62&amp;$J62,SorP!C:C,0))))</f>
        <v>CN-GD</v>
      </c>
      <c r="U62" s="201"/>
      <c r="V62" s="226">
        <f>IF(C62="",NA(),IF(OR(C62="Smelter not listed",C62="Smelter not yet identified"),MATCH($B62&amp;$D62,'Smelter Look-up'!$J:$J,0),MATCH($B62&amp;$C62,'Smelter Look-up'!$J:$J,0)))</f>
        <v>391</v>
      </c>
      <c r="X62" s="227">
        <f t="shared" si="34"/>
        <v>0</v>
      </c>
      <c r="AB62" s="228" t="str">
        <f t="shared" si="35"/>
        <v>TantalumXIMEI RESOURCES (GUANGDONG) LIMITED</v>
      </c>
    </row>
    <row r="63" spans="1:28" s="227" customFormat="1" ht="76.5">
      <c r="A63" s="181" t="s">
        <v>787</v>
      </c>
      <c r="B63" s="182" t="s">
        <v>1122</v>
      </c>
      <c r="C63" s="186" t="s">
        <v>15833</v>
      </c>
      <c r="D63" s="230"/>
      <c r="E63" s="182" t="s">
        <v>2415</v>
      </c>
      <c r="F63" s="182" t="s">
        <v>787</v>
      </c>
      <c r="G63" s="182" t="s">
        <v>13217</v>
      </c>
      <c r="H63" s="183">
        <v>0</v>
      </c>
      <c r="I63" s="184" t="s">
        <v>1812</v>
      </c>
      <c r="J63" s="184" t="s">
        <v>1725</v>
      </c>
      <c r="K63" s="224"/>
      <c r="L63" s="224"/>
      <c r="M63" s="224"/>
      <c r="N63" s="224"/>
      <c r="O63" s="224" t="s">
        <v>15870</v>
      </c>
      <c r="P63" s="185" t="s">
        <v>485</v>
      </c>
      <c r="Q63" s="225" t="s">
        <v>15876</v>
      </c>
      <c r="R63" s="182" t="str">
        <f ca="1">IF(ISERROR($V63),"",OFFSET('Smelter Look-up'!$C$4,$V63-4,0)&amp;"")</f>
        <v>Global Tungsten &amp; Powders LLC</v>
      </c>
      <c r="S63" s="181" t="str">
        <f t="shared" ca="1" si="33"/>
        <v>US</v>
      </c>
      <c r="T63" s="181" t="str">
        <f ca="1">IF(B63="","",IF(ISERROR(MATCH($J63,SorP!$B$1:$B$6226,0)),"",INDIRECT("'SorP'!$A$"&amp;MATCH($S63&amp;$J63,SorP!C:C,0))))</f>
        <v>US-PA</v>
      </c>
      <c r="U63" s="201"/>
      <c r="V63" s="226">
        <f>IF(C63="",NA(),IF(OR(C63="Smelter not listed",C63="Smelter not yet identified"),MATCH($B63&amp;$D63,'Smelter Look-up'!$J:$J,0),MATCH($B63&amp;$C63,'Smelter Look-up'!$J:$J,0)))</f>
        <v>604</v>
      </c>
      <c r="X63" s="227">
        <f t="shared" si="34"/>
        <v>0</v>
      </c>
      <c r="AB63" s="228" t="str">
        <f t="shared" si="35"/>
        <v>TungstenGlobal Tungsten &amp; Powders LLC</v>
      </c>
    </row>
    <row r="64" spans="1:28" s="227" customFormat="1" ht="89.25">
      <c r="A64" s="181" t="s">
        <v>762</v>
      </c>
      <c r="B64" s="182" t="s">
        <v>1120</v>
      </c>
      <c r="C64" s="186" t="s">
        <v>2128</v>
      </c>
      <c r="D64" s="230"/>
      <c r="E64" s="182" t="s">
        <v>1090</v>
      </c>
      <c r="F64" s="182" t="s">
        <v>762</v>
      </c>
      <c r="G64" s="182" t="s">
        <v>13217</v>
      </c>
      <c r="H64" s="183">
        <v>0</v>
      </c>
      <c r="I64" s="184" t="s">
        <v>2429</v>
      </c>
      <c r="J64" s="184" t="s">
        <v>13605</v>
      </c>
      <c r="K64" s="224"/>
      <c r="L64" s="224"/>
      <c r="M64" s="224"/>
      <c r="N64" s="224"/>
      <c r="O64" s="224" t="s">
        <v>15855</v>
      </c>
      <c r="P64" s="185" t="s">
        <v>485</v>
      </c>
      <c r="Q64" s="225" t="s">
        <v>15859</v>
      </c>
      <c r="R64" s="182" t="str">
        <f ca="1">IF(ISERROR($V64),"",OFFSET('Smelter Look-up'!$C$4,$V64-4,0)&amp;"")</f>
        <v>Gejiu Non-Ferrous Metal Processing Co., Ltd.</v>
      </c>
      <c r="S64" s="181" t="str">
        <f t="shared" ca="1" si="33"/>
        <v>CN</v>
      </c>
      <c r="T64" s="181" t="str">
        <f ca="1">IF(B64="","",IF(ISERROR(MATCH($J64,SorP!$B$1:$B$6226,0)),"",INDIRECT("'SorP'!$A$"&amp;MATCH($S64&amp;$J64,SorP!C:C,0))))</f>
        <v>CN-YN</v>
      </c>
      <c r="U64" s="201"/>
      <c r="V64" s="226">
        <f>IF(C64="",NA(),IF(OR(C64="Smelter not listed",C64="Smelter not yet identified"),MATCH($B64&amp;$D64,'Smelter Look-up'!$J:$J,0),MATCH($B64&amp;$C64,'Smelter Look-up'!$J:$J,0)))</f>
        <v>448</v>
      </c>
      <c r="X64" s="227">
        <f t="shared" si="34"/>
        <v>0</v>
      </c>
      <c r="AB64" s="228" t="str">
        <f t="shared" si="35"/>
        <v>TinGejiu Non-Ferrous Metal Processing Co., Ltd.</v>
      </c>
    </row>
    <row r="65" spans="1:28" s="227" customFormat="1" ht="63.75">
      <c r="A65" s="181" t="s">
        <v>741</v>
      </c>
      <c r="B65" s="182" t="s">
        <v>1121</v>
      </c>
      <c r="C65" s="186" t="s">
        <v>43</v>
      </c>
      <c r="D65" s="230"/>
      <c r="E65" s="182" t="s">
        <v>1090</v>
      </c>
      <c r="F65" s="182" t="s">
        <v>741</v>
      </c>
      <c r="G65" s="182" t="s">
        <v>13217</v>
      </c>
      <c r="H65" s="183">
        <v>0</v>
      </c>
      <c r="I65" s="184" t="s">
        <v>1705</v>
      </c>
      <c r="J65" s="184" t="s">
        <v>13601</v>
      </c>
      <c r="K65" s="224"/>
      <c r="L65" s="224"/>
      <c r="M65" s="224"/>
      <c r="N65" s="224"/>
      <c r="O65" s="224" t="s">
        <v>15864</v>
      </c>
      <c r="P65" s="185" t="s">
        <v>485</v>
      </c>
      <c r="Q65" s="225" t="s">
        <v>15863</v>
      </c>
      <c r="R65" s="182" t="str">
        <f ca="1">IF(ISERROR($V65),"",OFFSET('Smelter Look-up'!$C$4,$V65-4,0)&amp;"")</f>
        <v>F&amp;X Electro-Materials Ltd.</v>
      </c>
      <c r="S65" s="181" t="str">
        <f t="shared" ca="1" si="33"/>
        <v>CN</v>
      </c>
      <c r="T65" s="181" t="str">
        <f ca="1">IF(B65="","",IF(ISERROR(MATCH($J65,SorP!$B$1:$B$6226,0)),"",INDIRECT("'SorP'!$A$"&amp;MATCH($S65&amp;$J65,SorP!C:C,0))))</f>
        <v>CN-GD</v>
      </c>
      <c r="U65" s="201"/>
      <c r="V65" s="226">
        <f>IF(C65="",NA(),IF(OR(C65="Smelter not listed",C65="Smelter not yet identified"),MATCH($B65&amp;$D65,'Smelter Look-up'!$J:$J,0),MATCH($B65&amp;$C65,'Smelter Look-up'!$J:$J,0)))</f>
        <v>338</v>
      </c>
      <c r="X65" s="227">
        <f t="shared" si="34"/>
        <v>0</v>
      </c>
      <c r="AB65" s="228" t="str">
        <f t="shared" si="35"/>
        <v>TantalumF&amp;X Electro-Materials Ltd.</v>
      </c>
    </row>
    <row r="66" spans="1:28" s="227" customFormat="1" ht="38.25">
      <c r="A66" s="181" t="s">
        <v>759</v>
      </c>
      <c r="B66" s="182" t="s">
        <v>1120</v>
      </c>
      <c r="C66" s="186" t="s">
        <v>832</v>
      </c>
      <c r="D66" s="230"/>
      <c r="E66" s="182" t="s">
        <v>2413</v>
      </c>
      <c r="F66" s="182" t="s">
        <v>759</v>
      </c>
      <c r="G66" s="182" t="s">
        <v>13217</v>
      </c>
      <c r="H66" s="183">
        <v>0</v>
      </c>
      <c r="I66" s="184" t="s">
        <v>1755</v>
      </c>
      <c r="J66" s="184" t="s">
        <v>1755</v>
      </c>
      <c r="K66" s="224"/>
      <c r="L66" s="224"/>
      <c r="M66" s="224"/>
      <c r="N66" s="224"/>
      <c r="O66" s="224" t="s">
        <v>15873</v>
      </c>
      <c r="P66" s="185" t="s">
        <v>485</v>
      </c>
      <c r="Q66" s="225" t="s">
        <v>15859</v>
      </c>
      <c r="R66" s="182" t="str">
        <f ca="1">IF(ISERROR($V66),"",OFFSET('Smelter Look-up'!$C$4,$V66-4,0)&amp;"")</f>
        <v>EM Vinto</v>
      </c>
      <c r="S66" s="181" t="str">
        <f t="shared" ca="1" si="33"/>
        <v>BO</v>
      </c>
      <c r="T66" s="181" t="str">
        <f ca="1">IF(B66="","",IF(ISERROR(MATCH($J66,SorP!$B$1:$B$6226,0)),"",INDIRECT("'SorP'!$A$"&amp;MATCH($S66&amp;$J66,SorP!C:C,0))))</f>
        <v>BO-O</v>
      </c>
      <c r="U66" s="201"/>
      <c r="V66" s="226">
        <f>IF(C66="",NA(),IF(OR(C66="Smelter not listed",C66="Smelter not yet identified"),MATCH($B66&amp;$D66,'Smelter Look-up'!$J:$J,0),MATCH($B66&amp;$C66,'Smelter Look-up'!$J:$J,0)))</f>
        <v>433</v>
      </c>
      <c r="X66" s="227">
        <f t="shared" si="34"/>
        <v>0</v>
      </c>
      <c r="AB66" s="228" t="str">
        <f t="shared" si="35"/>
        <v>TinEM Vinto</v>
      </c>
    </row>
    <row r="67" spans="1:28" s="227" customFormat="1" ht="89.25">
      <c r="A67" s="181" t="s">
        <v>393</v>
      </c>
      <c r="B67" s="182" t="s">
        <v>1119</v>
      </c>
      <c r="C67" s="186" t="s">
        <v>13813</v>
      </c>
      <c r="D67" s="230"/>
      <c r="E67" s="182" t="s">
        <v>1098</v>
      </c>
      <c r="F67" s="182" t="s">
        <v>393</v>
      </c>
      <c r="G67" s="182" t="s">
        <v>13217</v>
      </c>
      <c r="H67" s="183">
        <v>0</v>
      </c>
      <c r="I67" s="184" t="s">
        <v>1572</v>
      </c>
      <c r="J67" s="184" t="s">
        <v>1573</v>
      </c>
      <c r="K67" s="224"/>
      <c r="L67" s="224"/>
      <c r="M67" s="224"/>
      <c r="N67" s="224" t="s">
        <v>15867</v>
      </c>
      <c r="O67" s="224" t="s">
        <v>15867</v>
      </c>
      <c r="P67" s="185" t="s">
        <v>484</v>
      </c>
      <c r="Q67" s="225" t="s">
        <v>15861</v>
      </c>
      <c r="R67" s="182" t="str">
        <f ca="1">IF(ISERROR($V67),"",OFFSET('Smelter Look-up'!$C$4,$V67-4,0)&amp;"")</f>
        <v>Eco-System Recycling Co., Ltd. East Plant</v>
      </c>
      <c r="S67" s="181" t="str">
        <f t="shared" ca="1" si="33"/>
        <v>JP</v>
      </c>
      <c r="T67" s="181" t="str">
        <f ca="1">IF(B67="","",IF(ISERROR(MATCH($J67,SorP!$B$1:$B$6226,0)),"",INDIRECT("'SorP'!$A$"&amp;MATCH($S67&amp;$J67,SorP!C:C,0))))</f>
        <v>JP-11</v>
      </c>
      <c r="U67" s="201"/>
      <c r="V67" s="226">
        <f>IF(C67="",NA(),IF(OR(C67="Smelter not listed",C67="Smelter not yet identified"),MATCH($B67&amp;$D67,'Smelter Look-up'!$J:$J,0),MATCH($B67&amp;$C67,'Smelter Look-up'!$J:$J,0)))</f>
        <v>74</v>
      </c>
      <c r="X67" s="227">
        <f t="shared" si="34"/>
        <v>0</v>
      </c>
      <c r="AB67" s="228" t="str">
        <f t="shared" si="35"/>
        <v>GoldEco-System Recycling Co., Ltd. East Plant</v>
      </c>
    </row>
    <row r="68" spans="1:28" s="227" customFormat="1" ht="38.25">
      <c r="A68" s="181" t="s">
        <v>1398</v>
      </c>
      <c r="B68" s="182" t="s">
        <v>1120</v>
      </c>
      <c r="C68" s="186" t="s">
        <v>896</v>
      </c>
      <c r="D68" s="230"/>
      <c r="E68" s="182" t="s">
        <v>1098</v>
      </c>
      <c r="F68" s="182" t="s">
        <v>1398</v>
      </c>
      <c r="G68" s="182" t="s">
        <v>13217</v>
      </c>
      <c r="H68" s="183">
        <v>0</v>
      </c>
      <c r="I68" s="184" t="s">
        <v>1567</v>
      </c>
      <c r="J68" s="184" t="s">
        <v>1568</v>
      </c>
      <c r="K68" s="224"/>
      <c r="L68" s="224"/>
      <c r="M68" s="224"/>
      <c r="N68" s="224" t="s">
        <v>15867</v>
      </c>
      <c r="O68" s="224" t="s">
        <v>15867</v>
      </c>
      <c r="P68" s="185" t="s">
        <v>484</v>
      </c>
      <c r="Q68" s="225" t="s">
        <v>15859</v>
      </c>
      <c r="R68" s="182" t="str">
        <f ca="1">IF(ISERROR($V68),"",OFFSET('Smelter Look-up'!$C$4,$V68-4,0)&amp;"")</f>
        <v>Dowa</v>
      </c>
      <c r="S68" s="181" t="str">
        <f t="shared" ca="1" si="33"/>
        <v>JP</v>
      </c>
      <c r="T68" s="181" t="str">
        <f ca="1">IF(B68="","",IF(ISERROR(MATCH($J68,SorP!$B$1:$B$6226,0)),"",INDIRECT("'SorP'!$A$"&amp;MATCH($S68&amp;$J68,SorP!C:C,0))))</f>
        <v>JP-05</v>
      </c>
      <c r="U68" s="201"/>
      <c r="V68" s="226">
        <f>IF(C68="",NA(),IF(OR(C68="Smelter not listed",C68="Smelter not yet identified"),MATCH($B68&amp;$D68,'Smelter Look-up'!$J:$J,0),MATCH($B68&amp;$C68,'Smelter Look-up'!$J:$J,0)))</f>
        <v>429</v>
      </c>
      <c r="X68" s="227">
        <f t="shared" si="34"/>
        <v>0</v>
      </c>
      <c r="AB68" s="228" t="str">
        <f t="shared" si="35"/>
        <v>TinDowa</v>
      </c>
    </row>
    <row r="69" spans="1:28" s="227" customFormat="1" ht="38.25">
      <c r="A69" s="181" t="s">
        <v>667</v>
      </c>
      <c r="B69" s="182" t="s">
        <v>1119</v>
      </c>
      <c r="C69" s="186" t="s">
        <v>896</v>
      </c>
      <c r="D69" s="230"/>
      <c r="E69" s="182" t="s">
        <v>1098</v>
      </c>
      <c r="F69" s="182" t="s">
        <v>667</v>
      </c>
      <c r="G69" s="182" t="s">
        <v>13217</v>
      </c>
      <c r="H69" s="183">
        <v>0</v>
      </c>
      <c r="I69" s="184" t="s">
        <v>1567</v>
      </c>
      <c r="J69" s="184" t="s">
        <v>1568</v>
      </c>
      <c r="K69" s="224"/>
      <c r="L69" s="224"/>
      <c r="M69" s="224"/>
      <c r="N69" s="224" t="s">
        <v>15867</v>
      </c>
      <c r="O69" s="224" t="s">
        <v>15867</v>
      </c>
      <c r="P69" s="185" t="s">
        <v>484</v>
      </c>
      <c r="Q69" s="225" t="s">
        <v>15861</v>
      </c>
      <c r="R69" s="182" t="str">
        <f ca="1">IF(ISERROR($V69),"",OFFSET('Smelter Look-up'!$C$4,$V69-4,0)&amp;"")</f>
        <v>Dowa</v>
      </c>
      <c r="S69" s="181" t="str">
        <f t="shared" ref="S69:S75" ca="1" si="36">IF(B69="","",IF(ISERROR(MATCH($E69,CL,0)),"Unknown",INDIRECT("'C'!$A$"&amp;MATCH($E69,CL,0)+1)))</f>
        <v>JP</v>
      </c>
      <c r="T69" s="181" t="str">
        <f ca="1">IF(B69="","",IF(ISERROR(MATCH($J69,SorP!$B$1:$B$6226,0)),"",INDIRECT("'SorP'!$A$"&amp;MATCH($S69&amp;$J69,SorP!C:C,0))))</f>
        <v>JP-05</v>
      </c>
      <c r="U69" s="201"/>
      <c r="V69" s="226">
        <f>IF(C69="",NA(),IF(OR(C69="Smelter not listed",C69="Smelter not yet identified"),MATCH($B69&amp;$D69,'Smelter Look-up'!$J:$J,0),MATCH($B69&amp;$C69,'Smelter Look-up'!$J:$J,0)))</f>
        <v>69</v>
      </c>
      <c r="X69" s="227">
        <f t="shared" ref="X69:X75" si="37">IF(AND(C69="Smelter not listed",OR(LEN(D69)=0,LEN(E69)=0)),1,0)</f>
        <v>0</v>
      </c>
      <c r="AB69" s="228" t="str">
        <f t="shared" ref="AB69:AB75" si="38">B69&amp;C69</f>
        <v>GoldDowa</v>
      </c>
    </row>
    <row r="70" spans="1:28" s="227" customFormat="1" ht="38.25">
      <c r="A70" s="181" t="s">
        <v>758</v>
      </c>
      <c r="B70" s="182" t="s">
        <v>1120</v>
      </c>
      <c r="C70" s="186" t="s">
        <v>47</v>
      </c>
      <c r="D70" s="230"/>
      <c r="E70" s="182" t="s">
        <v>2415</v>
      </c>
      <c r="F70" s="182" t="s">
        <v>758</v>
      </c>
      <c r="G70" s="182" t="s">
        <v>13217</v>
      </c>
      <c r="H70" s="183">
        <v>0</v>
      </c>
      <c r="I70" s="184" t="s">
        <v>1746</v>
      </c>
      <c r="J70" s="184" t="s">
        <v>1725</v>
      </c>
      <c r="K70" s="224"/>
      <c r="L70" s="224"/>
      <c r="M70" s="224"/>
      <c r="N70" s="224"/>
      <c r="O70" s="224" t="s">
        <v>15858</v>
      </c>
      <c r="P70" s="185" t="s">
        <v>485</v>
      </c>
      <c r="Q70" s="225" t="s">
        <v>15859</v>
      </c>
      <c r="R70" s="182" t="str">
        <f ca="1">IF(ISERROR($V70),"",OFFSET('Smelter Look-up'!$C$4,$V70-4,0)&amp;"")</f>
        <v>Alpha</v>
      </c>
      <c r="S70" s="181" t="str">
        <f t="shared" ca="1" si="36"/>
        <v>US</v>
      </c>
      <c r="T70" s="181" t="str">
        <f ca="1">IF(B70="","",IF(ISERROR(MATCH($J70,SorP!$B$1:$B$6226,0)),"",INDIRECT("'SorP'!$A$"&amp;MATCH($S70&amp;$J70,SorP!C:C,0))))</f>
        <v>US-PA</v>
      </c>
      <c r="U70" s="201"/>
      <c r="V70" s="226">
        <f>IF(C70="",NA(),IF(OR(C70="Smelter not listed",C70="Smelter not yet identified"),MATCH($B70&amp;$D70,'Smelter Look-up'!$J:$J,0),MATCH($B70&amp;$C70,'Smelter Look-up'!$J:$J,0)))</f>
        <v>400</v>
      </c>
      <c r="X70" s="227">
        <f t="shared" si="37"/>
        <v>0</v>
      </c>
      <c r="AB70" s="228" t="str">
        <f t="shared" si="38"/>
        <v>TinAlpha</v>
      </c>
    </row>
    <row r="71" spans="1:28" s="227" customFormat="1" ht="102">
      <c r="A71" s="181" t="s">
        <v>786</v>
      </c>
      <c r="B71" s="182" t="s">
        <v>1122</v>
      </c>
      <c r="C71" s="186" t="s">
        <v>1367</v>
      </c>
      <c r="D71" s="230"/>
      <c r="E71" s="182" t="s">
        <v>1090</v>
      </c>
      <c r="F71" s="182" t="s">
        <v>786</v>
      </c>
      <c r="G71" s="182" t="s">
        <v>13217</v>
      </c>
      <c r="H71" s="183">
        <v>0</v>
      </c>
      <c r="I71" s="184" t="s">
        <v>1759</v>
      </c>
      <c r="J71" s="184" t="s">
        <v>13596</v>
      </c>
      <c r="K71" s="224"/>
      <c r="L71" s="224"/>
      <c r="M71" s="224"/>
      <c r="N71" s="224"/>
      <c r="O71" s="224" t="s">
        <v>15855</v>
      </c>
      <c r="P71" s="185" t="s">
        <v>485</v>
      </c>
      <c r="Q71" s="225" t="s">
        <v>15862</v>
      </c>
      <c r="R71" s="182" t="str">
        <f ca="1">IF(ISERROR($V71),"",OFFSET('Smelter Look-up'!$C$4,$V71-4,0)&amp;"")</f>
        <v>Chongyi Zhangyuan Tungsten Co., Ltd.</v>
      </c>
      <c r="S71" s="181" t="str">
        <f t="shared" ca="1" si="36"/>
        <v>CN</v>
      </c>
      <c r="T71" s="181" t="str">
        <f ca="1">IF(B71="","",IF(ISERROR(MATCH($J71,SorP!$B$1:$B$6226,0)),"",INDIRECT("'SorP'!$A$"&amp;MATCH($S71&amp;$J71,SorP!C:C,0))))</f>
        <v>CN-JX</v>
      </c>
      <c r="U71" s="201"/>
      <c r="V71" s="226">
        <f>IF(C71="",NA(),IF(OR(C71="Smelter not listed",C71="Smelter not yet identified"),MATCH($B71&amp;$D71,'Smelter Look-up'!$J:$J,0),MATCH($B71&amp;$C71,'Smelter Look-up'!$J:$J,0)))</f>
        <v>595</v>
      </c>
      <c r="X71" s="227">
        <f t="shared" si="37"/>
        <v>0</v>
      </c>
      <c r="AB71" s="228" t="str">
        <f t="shared" si="38"/>
        <v>TungstenChongyi Zhangyuan Tungsten Co., Ltd.</v>
      </c>
    </row>
    <row r="72" spans="1:28" s="227" customFormat="1" ht="63.75">
      <c r="A72" s="181" t="s">
        <v>784</v>
      </c>
      <c r="B72" s="182" t="s">
        <v>1122</v>
      </c>
      <c r="C72" s="186" t="s">
        <v>145</v>
      </c>
      <c r="D72" s="230"/>
      <c r="E72" s="182" t="s">
        <v>2415</v>
      </c>
      <c r="F72" s="182" t="s">
        <v>784</v>
      </c>
      <c r="G72" s="182" t="s">
        <v>13217</v>
      </c>
      <c r="H72" s="183">
        <v>0</v>
      </c>
      <c r="I72" s="184" t="s">
        <v>1808</v>
      </c>
      <c r="J72" s="184" t="s">
        <v>1809</v>
      </c>
      <c r="K72" s="224"/>
      <c r="L72" s="224"/>
      <c r="M72" s="224"/>
      <c r="N72" s="224"/>
      <c r="O72" s="224" t="s">
        <v>15855</v>
      </c>
      <c r="P72" s="185" t="s">
        <v>485</v>
      </c>
      <c r="Q72" s="225" t="s">
        <v>15862</v>
      </c>
      <c r="R72" s="182" t="str">
        <f ca="1">IF(ISERROR($V72),"",OFFSET('Smelter Look-up'!$C$4,$V72-4,0)&amp;"")</f>
        <v>Kennametal Huntsville</v>
      </c>
      <c r="S72" s="181" t="str">
        <f t="shared" ca="1" si="36"/>
        <v>US</v>
      </c>
      <c r="T72" s="181" t="str">
        <f ca="1">IF(B72="","",IF(ISERROR(MATCH($J72,SorP!$B$1:$B$6226,0)),"",INDIRECT("'SorP'!$A$"&amp;MATCH($S72&amp;$J72,SorP!C:C,0))))</f>
        <v>US-AL</v>
      </c>
      <c r="U72" s="201"/>
      <c r="V72" s="226">
        <f>IF(C72="",NA(),IF(OR(C72="Smelter not listed",C72="Smelter not yet identified"),MATCH($B72&amp;$D72,'Smelter Look-up'!$J:$J,0),MATCH($B72&amp;$C72,'Smelter Look-up'!$J:$J,0)))</f>
        <v>630</v>
      </c>
      <c r="X72" s="227">
        <f t="shared" si="37"/>
        <v>0</v>
      </c>
      <c r="AB72" s="228" t="str">
        <f t="shared" si="38"/>
        <v>TungstenKennametal Huntsville</v>
      </c>
    </row>
    <row r="73" spans="1:28" s="227" customFormat="1" ht="51">
      <c r="A73" s="181" t="s">
        <v>652</v>
      </c>
      <c r="B73" s="182" t="s">
        <v>1119</v>
      </c>
      <c r="C73" s="186" t="s">
        <v>2125</v>
      </c>
      <c r="D73" s="230"/>
      <c r="E73" s="182" t="s">
        <v>1098</v>
      </c>
      <c r="F73" s="182" t="s">
        <v>652</v>
      </c>
      <c r="G73" s="182" t="s">
        <v>13217</v>
      </c>
      <c r="H73" s="183">
        <v>0</v>
      </c>
      <c r="I73" s="184" t="s">
        <v>1546</v>
      </c>
      <c r="J73" s="184" t="s">
        <v>1547</v>
      </c>
      <c r="K73" s="224"/>
      <c r="L73" s="224"/>
      <c r="M73" s="224"/>
      <c r="N73" s="224" t="s">
        <v>15867</v>
      </c>
      <c r="O73" s="224" t="s">
        <v>15867</v>
      </c>
      <c r="P73" s="185" t="s">
        <v>485</v>
      </c>
      <c r="Q73" s="225" t="s">
        <v>15861</v>
      </c>
      <c r="R73" s="182" t="str">
        <f ca="1">IF(ISERROR($V73),"",OFFSET('Smelter Look-up'!$C$4,$V73-4,0)&amp;"")</f>
        <v>Asaka Riken Co., Ltd.</v>
      </c>
      <c r="S73" s="181" t="str">
        <f t="shared" ca="1" si="36"/>
        <v>JP</v>
      </c>
      <c r="T73" s="181" t="str">
        <f ca="1">IF(B73="","",IF(ISERROR(MATCH($J73,SorP!$B$1:$B$6226,0)),"",INDIRECT("'SorP'!$A$"&amp;MATCH($S73&amp;$J73,SorP!C:C,0))))</f>
        <v>JP-07</v>
      </c>
      <c r="U73" s="201"/>
      <c r="V73" s="226">
        <f>IF(C73="",NA(),IF(OR(C73="Smelter not listed",C73="Smelter not yet identified"),MATCH($B73&amp;$D73,'Smelter Look-up'!$J:$J,0),MATCH($B73&amp;$C73,'Smelter Look-up'!$J:$J,0)))</f>
        <v>32</v>
      </c>
      <c r="X73" s="227">
        <f t="shared" si="37"/>
        <v>0</v>
      </c>
      <c r="AB73" s="228" t="str">
        <f t="shared" si="38"/>
        <v>GoldAsaka Riken Co., Ltd.</v>
      </c>
    </row>
    <row r="74" spans="1:28" s="227" customFormat="1" ht="51">
      <c r="A74" s="181" t="s">
        <v>651</v>
      </c>
      <c r="B74" s="182" t="s">
        <v>1119</v>
      </c>
      <c r="C74" s="186" t="s">
        <v>2268</v>
      </c>
      <c r="D74" s="230"/>
      <c r="E74" s="182" t="s">
        <v>1098</v>
      </c>
      <c r="F74" s="182" t="s">
        <v>651</v>
      </c>
      <c r="G74" s="182" t="s">
        <v>13217</v>
      </c>
      <c r="H74" s="183">
        <v>0</v>
      </c>
      <c r="I74" s="184" t="s">
        <v>1543</v>
      </c>
      <c r="J74" s="184" t="s">
        <v>1544</v>
      </c>
      <c r="K74" s="224"/>
      <c r="L74" s="224"/>
      <c r="M74" s="224"/>
      <c r="N74" s="224" t="s">
        <v>15867</v>
      </c>
      <c r="O74" s="224" t="s">
        <v>15867</v>
      </c>
      <c r="P74" s="185" t="s">
        <v>484</v>
      </c>
      <c r="Q74" s="225" t="s">
        <v>15861</v>
      </c>
      <c r="R74" s="182" t="str">
        <f ca="1">IF(ISERROR($V74),"",OFFSET('Smelter Look-up'!$C$4,$V74-4,0)&amp;"")</f>
        <v>Asahi Pretec Corp.</v>
      </c>
      <c r="S74" s="181" t="str">
        <f t="shared" ca="1" si="36"/>
        <v>JP</v>
      </c>
      <c r="T74" s="181" t="str">
        <f ca="1">IF(B74="","",IF(ISERROR(MATCH($J74,SorP!$B$1:$B$6226,0)),"",INDIRECT("'SorP'!$A$"&amp;MATCH($S74&amp;$J74,SorP!C:C,0))))</f>
        <v>JP-28</v>
      </c>
      <c r="U74" s="201"/>
      <c r="V74" s="226">
        <f>IF(C74="",NA(),IF(OR(C74="Smelter not listed",C74="Smelter not yet identified"),MATCH($B74&amp;$D74,'Smelter Look-up'!$J:$J,0),MATCH($B74&amp;$C74,'Smelter Look-up'!$J:$J,0)))</f>
        <v>29</v>
      </c>
      <c r="X74" s="227">
        <f t="shared" si="37"/>
        <v>0</v>
      </c>
      <c r="AB74" s="228" t="str">
        <f t="shared" si="38"/>
        <v>GoldAsahi Pretec Corp.</v>
      </c>
    </row>
    <row r="75" spans="1:28" s="227" customFormat="1" ht="51">
      <c r="A75" s="181" t="s">
        <v>650</v>
      </c>
      <c r="B75" s="182" t="s">
        <v>1119</v>
      </c>
      <c r="C75" s="186" t="s">
        <v>2267</v>
      </c>
      <c r="D75" s="230"/>
      <c r="E75" s="182" t="s">
        <v>1088</v>
      </c>
      <c r="F75" s="182" t="s">
        <v>650</v>
      </c>
      <c r="G75" s="182" t="s">
        <v>13217</v>
      </c>
      <c r="H75" s="183">
        <v>0</v>
      </c>
      <c r="I75" s="184" t="s">
        <v>1541</v>
      </c>
      <c r="J75" s="184" t="s">
        <v>1542</v>
      </c>
      <c r="K75" s="224"/>
      <c r="L75" s="224"/>
      <c r="M75" s="224"/>
      <c r="N75" s="224" t="s">
        <v>15867</v>
      </c>
      <c r="O75" s="224" t="s">
        <v>15868</v>
      </c>
      <c r="P75" s="185" t="s">
        <v>485</v>
      </c>
      <c r="Q75" s="225" t="s">
        <v>15861</v>
      </c>
      <c r="R75" s="182" t="str">
        <f ca="1">IF(ISERROR($V75),"",OFFSET('Smelter Look-up'!$C$4,$V75-4,0)&amp;"")</f>
        <v>Argor-Heraeus S.A.</v>
      </c>
      <c r="S75" s="181" t="str">
        <f t="shared" ca="1" si="36"/>
        <v>CH</v>
      </c>
      <c r="T75" s="181" t="str">
        <f ca="1">IF(B75="","",IF(ISERROR(MATCH($J75,SorP!$B$1:$B$6226,0)),"",INDIRECT("'SorP'!$A$"&amp;MATCH($S75&amp;$J75,SorP!C:C,0))))</f>
        <v>CH-TI</v>
      </c>
      <c r="U75" s="201"/>
      <c r="V75" s="226">
        <f>IF(C75="",NA(),IF(OR(C75="Smelter not listed",C75="Smelter not yet identified"),MATCH($B75&amp;$D75,'Smelter Look-up'!$J:$J,0),MATCH($B75&amp;$C75,'Smelter Look-up'!$J:$J,0)))</f>
        <v>28</v>
      </c>
      <c r="X75" s="227">
        <f t="shared" si="37"/>
        <v>0</v>
      </c>
      <c r="AB75" s="228" t="str">
        <f t="shared" si="38"/>
        <v>GoldArgor-Heraeus S.A.</v>
      </c>
    </row>
    <row r="76" spans="1:28" s="227" customFormat="1" ht="76.5">
      <c r="A76" s="181" t="s">
        <v>646</v>
      </c>
      <c r="B76" s="182" t="s">
        <v>1119</v>
      </c>
      <c r="C76" s="186" t="s">
        <v>2124</v>
      </c>
      <c r="D76" s="230"/>
      <c r="E76" s="182" t="s">
        <v>1098</v>
      </c>
      <c r="F76" s="182" t="s">
        <v>646</v>
      </c>
      <c r="G76" s="182" t="s">
        <v>13217</v>
      </c>
      <c r="H76" s="183">
        <v>0</v>
      </c>
      <c r="I76" s="184" t="s">
        <v>1533</v>
      </c>
      <c r="J76" s="184" t="s">
        <v>1534</v>
      </c>
      <c r="K76" s="224"/>
      <c r="L76" s="224"/>
      <c r="M76" s="224"/>
      <c r="N76" s="224" t="s">
        <v>15867</v>
      </c>
      <c r="O76" s="224" t="s">
        <v>15867</v>
      </c>
      <c r="P76" s="185" t="s">
        <v>484</v>
      </c>
      <c r="Q76" s="225" t="s">
        <v>15861</v>
      </c>
      <c r="R76" s="182" t="str">
        <f ca="1">IF(ISERROR($V76),"",OFFSET('Smelter Look-up'!$C$4,$V76-4,0)&amp;"")</f>
        <v>Aida Chemical Industries Co., Ltd.</v>
      </c>
      <c r="S76" s="181" t="str">
        <f t="shared" ref="S76:S77" ca="1" si="39">IF(B76="","",IF(ISERROR(MATCH($E76,CL,0)),"Unknown",INDIRECT("'C'!$A$"&amp;MATCH($E76,CL,0)+1)))</f>
        <v>JP</v>
      </c>
      <c r="T76" s="181" t="str">
        <f ca="1">IF(B76="","",IF(ISERROR(MATCH($J76,SorP!$B$1:$B$6226,0)),"",INDIRECT("'SorP'!$A$"&amp;MATCH($S76&amp;$J76,SorP!C:C,0))))</f>
        <v>JP-13</v>
      </c>
      <c r="U76" s="201"/>
      <c r="V76" s="226">
        <f>IF(C76="",NA(),IF(OR(C76="Smelter not listed",C76="Smelter not yet identified"),MATCH($B76&amp;$D76,'Smelter Look-up'!$J:$J,0),MATCH($B76&amp;$C76,'Smelter Look-up'!$J:$J,0)))</f>
        <v>13</v>
      </c>
      <c r="X76" s="227">
        <f t="shared" ref="X76:X77" si="40">IF(AND(C76="Smelter not listed",OR(LEN(D76)=0,LEN(E76)=0)),1,0)</f>
        <v>0</v>
      </c>
      <c r="AB76" s="228" t="str">
        <f t="shared" ref="AB76:AB77" si="41">B76&amp;C76</f>
        <v>GoldAida Chemical Industries Co., Ltd.</v>
      </c>
    </row>
    <row r="77" spans="1:28" s="227" customFormat="1" ht="38.25">
      <c r="A77" s="181" t="s">
        <v>783</v>
      </c>
      <c r="B77" s="182" t="s">
        <v>1122</v>
      </c>
      <c r="C77" s="186" t="s">
        <v>13786</v>
      </c>
      <c r="D77" s="230"/>
      <c r="E77" s="182" t="s">
        <v>1098</v>
      </c>
      <c r="F77" s="182" t="s">
        <v>783</v>
      </c>
      <c r="G77" s="182" t="s">
        <v>13217</v>
      </c>
      <c r="H77" s="183">
        <v>0</v>
      </c>
      <c r="I77" s="184" t="s">
        <v>2116</v>
      </c>
      <c r="J77" s="184" t="s">
        <v>2117</v>
      </c>
      <c r="K77" s="224"/>
      <c r="L77" s="224"/>
      <c r="M77" s="224"/>
      <c r="N77" s="224"/>
      <c r="O77" s="224" t="s">
        <v>15855</v>
      </c>
      <c r="P77" s="185" t="s">
        <v>485</v>
      </c>
      <c r="Q77" s="225" t="s">
        <v>15862</v>
      </c>
      <c r="R77" s="182" t="str">
        <f ca="1">IF(ISERROR($V77),"",OFFSET('Smelter Look-up'!$C$4,$V77-4,0)&amp;"")</f>
        <v>A.L.M.T. Corp.</v>
      </c>
      <c r="S77" s="181" t="str">
        <f t="shared" ca="1" si="39"/>
        <v>JP</v>
      </c>
      <c r="T77" s="181" t="str">
        <f ca="1">IF(B77="","",IF(ISERROR(MATCH($J77,SorP!$B$1:$B$6226,0)),"",INDIRECT("'SorP'!$A$"&amp;MATCH($S77&amp;$J77,SorP!C:C,0))))</f>
        <v>JP-16</v>
      </c>
      <c r="U77" s="201"/>
      <c r="V77" s="226">
        <f>IF(C77="",NA(),IF(OR(C77="Smelter not listed",C77="Smelter not yet identified"),MATCH($B77&amp;$D77,'Smelter Look-up'!$J:$J,0),MATCH($B77&amp;$C77,'Smelter Look-up'!$J:$J,0)))</f>
        <v>579</v>
      </c>
      <c r="X77" s="227">
        <f t="shared" si="40"/>
        <v>0</v>
      </c>
      <c r="AB77" s="228" t="str">
        <f t="shared" si="41"/>
        <v>TungstenA.L.M.T. Corp.</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ref="S78" ca="1" si="42">IF(B78="","",IF(ISERROR(MATCH($E78,CL,0)),"Unknown",INDIRECT("'C'!$A$"&amp;MATCH($E78,CL,0)+1)))</f>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ref="X78" ca="1" si="43">IF(AND(C78="Smelter not listed",OR(LEN(D78)=0,LEN(E78)=0)),1,0)</f>
        <v>0</v>
      </c>
      <c r="AB78" s="228" t="str">
        <f t="shared" ref="AB78" si="44">B78&amp;C78</f>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ref="S79:S110" ca="1" si="45">IF(B79="","",IF(ISERROR(MATCH($E79,CL,0)),"Unknown",INDIRECT("'C'!$A$"&amp;MATCH($E79,CL,0)+1)))</f>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ref="X79:X110" ca="1" si="46">IF(AND(C79="Smelter not listed",OR(LEN(D79)=0,LEN(E79)=0)),1,0)</f>
        <v>0</v>
      </c>
      <c r="AB79" s="228" t="str">
        <f t="shared" ref="AB79:AB110" si="47">B79&amp;C79</f>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45"/>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46"/>
        <v>0</v>
      </c>
      <c r="AB80" s="228" t="str">
        <f t="shared" si="47"/>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45"/>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46"/>
        <v>0</v>
      </c>
      <c r="AB81" s="228" t="str">
        <f t="shared" si="47"/>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45"/>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46"/>
        <v>0</v>
      </c>
      <c r="AB82" s="228" t="str">
        <f t="shared" si="47"/>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45"/>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46"/>
        <v>0</v>
      </c>
      <c r="AB83" s="228" t="str">
        <f t="shared" si="47"/>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45"/>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46"/>
        <v>0</v>
      </c>
      <c r="AB84" s="228" t="str">
        <f t="shared" si="47"/>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45"/>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46"/>
        <v>0</v>
      </c>
      <c r="AB85" s="228" t="str">
        <f t="shared" si="47"/>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45"/>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46"/>
        <v>0</v>
      </c>
      <c r="AB86" s="228" t="str">
        <f t="shared" si="47"/>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45"/>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46"/>
        <v>0</v>
      </c>
      <c r="AB87" s="228" t="str">
        <f t="shared" si="47"/>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45"/>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46"/>
        <v>0</v>
      </c>
      <c r="AB88" s="228" t="str">
        <f t="shared" si="47"/>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45"/>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46"/>
        <v>0</v>
      </c>
      <c r="AB89" s="228" t="str">
        <f t="shared" si="47"/>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45"/>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46"/>
        <v>0</v>
      </c>
      <c r="AB90" s="228" t="str">
        <f t="shared" si="47"/>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45"/>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46"/>
        <v>0</v>
      </c>
      <c r="AB91" s="228" t="str">
        <f t="shared" si="47"/>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45"/>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46"/>
        <v>0</v>
      </c>
      <c r="AB92" s="228" t="str">
        <f t="shared" si="47"/>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45"/>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46"/>
        <v>0</v>
      </c>
      <c r="AB93" s="228" t="str">
        <f t="shared" si="47"/>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45"/>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46"/>
        <v>0</v>
      </c>
      <c r="AB94" s="228" t="str">
        <f t="shared" si="47"/>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45"/>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46"/>
        <v>0</v>
      </c>
      <c r="AB95" s="228" t="str">
        <f t="shared" si="47"/>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45"/>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46"/>
        <v>0</v>
      </c>
      <c r="AB96" s="228" t="str">
        <f t="shared" si="47"/>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45"/>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46"/>
        <v>0</v>
      </c>
      <c r="AB97" s="228" t="str">
        <f t="shared" si="47"/>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45"/>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46"/>
        <v>0</v>
      </c>
      <c r="AB98" s="228" t="str">
        <f t="shared" si="47"/>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45"/>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46"/>
        <v>0</v>
      </c>
      <c r="AB99" s="228" t="str">
        <f t="shared" si="47"/>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45"/>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46"/>
        <v>0</v>
      </c>
      <c r="AB100" s="228" t="str">
        <f t="shared" si="47"/>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45"/>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46"/>
        <v>0</v>
      </c>
      <c r="AB101" s="228" t="str">
        <f t="shared" si="47"/>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45"/>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46"/>
        <v>0</v>
      </c>
      <c r="AB102" s="228" t="str">
        <f t="shared" si="47"/>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45"/>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46"/>
        <v>0</v>
      </c>
      <c r="AB103" s="228" t="str">
        <f t="shared" si="4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45"/>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46"/>
        <v>0</v>
      </c>
      <c r="AB104" s="228" t="str">
        <f t="shared" si="4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45"/>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46"/>
        <v>0</v>
      </c>
      <c r="AB105" s="228" t="str">
        <f t="shared" si="4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45"/>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46"/>
        <v>0</v>
      </c>
      <c r="AB106" s="228" t="str">
        <f t="shared" si="4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45"/>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46"/>
        <v>0</v>
      </c>
      <c r="AB107" s="228" t="str">
        <f t="shared" si="4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45"/>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46"/>
        <v>0</v>
      </c>
      <c r="AB108" s="228" t="str">
        <f t="shared" si="4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45"/>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46"/>
        <v>0</v>
      </c>
      <c r="AB109" s="228" t="str">
        <f t="shared" si="4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45"/>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46"/>
        <v>0</v>
      </c>
      <c r="AB110" s="228" t="str">
        <f t="shared" si="4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ref="S111:S141" ca="1" si="48">IF(B111="","",IF(ISERROR(MATCH($E111,CL,0)),"Unknown",INDIRECT("'C'!$A$"&amp;MATCH($E111,CL,0)+1)))</f>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ref="X111:X141" ca="1" si="49">IF(AND(C111="Smelter not listed",OR(LEN(D111)=0,LEN(E111)=0)),1,0)</f>
        <v>0</v>
      </c>
      <c r="AB111" s="228" t="str">
        <f t="shared" ref="AB111:AB141" si="50">B111&amp;C111</f>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48"/>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49"/>
        <v>0</v>
      </c>
      <c r="AB112" s="228" t="str">
        <f t="shared" si="50"/>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48"/>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49"/>
        <v>0</v>
      </c>
      <c r="AB113" s="228" t="str">
        <f t="shared" si="50"/>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48"/>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49"/>
        <v>0</v>
      </c>
      <c r="AB114" s="228" t="str">
        <f t="shared" si="50"/>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48"/>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49"/>
        <v>0</v>
      </c>
      <c r="AB115" s="228" t="str">
        <f t="shared" si="50"/>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48"/>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49"/>
        <v>0</v>
      </c>
      <c r="AB116" s="228" t="str">
        <f t="shared" si="50"/>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48"/>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49"/>
        <v>0</v>
      </c>
      <c r="AB117" s="228" t="str">
        <f t="shared" si="50"/>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48"/>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49"/>
        <v>0</v>
      </c>
      <c r="AB118" s="228" t="str">
        <f t="shared" si="50"/>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48"/>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49"/>
        <v>0</v>
      </c>
      <c r="AB119" s="228" t="str">
        <f t="shared" si="50"/>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48"/>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49"/>
        <v>0</v>
      </c>
      <c r="AB120" s="228" t="str">
        <f t="shared" si="50"/>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48"/>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49"/>
        <v>0</v>
      </c>
      <c r="AB121" s="228" t="str">
        <f t="shared" si="50"/>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48"/>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49"/>
        <v>0</v>
      </c>
      <c r="AB122" s="228" t="str">
        <f t="shared" si="50"/>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48"/>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49"/>
        <v>0</v>
      </c>
      <c r="AB123" s="228" t="str">
        <f t="shared" si="50"/>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48"/>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49"/>
        <v>0</v>
      </c>
      <c r="AB124" s="228" t="str">
        <f t="shared" si="50"/>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48"/>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49"/>
        <v>0</v>
      </c>
      <c r="AB125" s="228" t="str">
        <f t="shared" si="50"/>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48"/>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49"/>
        <v>0</v>
      </c>
      <c r="AB126" s="228" t="str">
        <f t="shared" si="50"/>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48"/>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49"/>
        <v>0</v>
      </c>
      <c r="AB127" s="228" t="str">
        <f t="shared" si="50"/>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48"/>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49"/>
        <v>0</v>
      </c>
      <c r="AB128" s="228" t="str">
        <f t="shared" si="50"/>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4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49"/>
        <v>0</v>
      </c>
      <c r="AB129" s="228" t="str">
        <f t="shared" si="50"/>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4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49"/>
        <v>0</v>
      </c>
      <c r="AB130" s="228" t="str">
        <f t="shared" si="50"/>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4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49"/>
        <v>0</v>
      </c>
      <c r="AB131" s="228" t="str">
        <f t="shared" si="50"/>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4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49"/>
        <v>0</v>
      </c>
      <c r="AB132" s="228" t="str">
        <f t="shared" si="50"/>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4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49"/>
        <v>0</v>
      </c>
      <c r="AB133" s="228" t="str">
        <f t="shared" si="50"/>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4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49"/>
        <v>0</v>
      </c>
      <c r="AB134" s="228" t="str">
        <f t="shared" si="50"/>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4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49"/>
        <v>0</v>
      </c>
      <c r="AB135" s="228" t="str">
        <f t="shared" si="5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4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49"/>
        <v>0</v>
      </c>
      <c r="AB136" s="228" t="str">
        <f t="shared" si="5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4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49"/>
        <v>0</v>
      </c>
      <c r="AB137" s="228" t="str">
        <f t="shared" si="5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4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49"/>
        <v>0</v>
      </c>
      <c r="AB138" s="228" t="str">
        <f t="shared" si="5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4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49"/>
        <v>0</v>
      </c>
      <c r="AB139" s="228" t="str">
        <f t="shared" si="5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4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49"/>
        <v>0</v>
      </c>
      <c r="AB140" s="228" t="str">
        <f t="shared" si="5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4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49"/>
        <v>0</v>
      </c>
      <c r="AB141" s="228" t="str">
        <f t="shared" si="5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ref="S142" ca="1" si="51">IF(B142="","",IF(ISERROR(MATCH($E142,CL,0)),"Unknown",INDIRECT("'C'!$A$"&amp;MATCH($E142,CL,0)+1)))</f>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ref="X142" ca="1" si="52">IF(AND(C142="Smelter not listed",OR(LEN(D142)=0,LEN(E142)=0)),1,0)</f>
        <v>0</v>
      </c>
      <c r="AB142" s="228" t="str">
        <f t="shared" ref="AB142" si="53">B142&amp;C142</f>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ref="S143:S174" ca="1" si="54">IF(B143="","",IF(ISERROR(MATCH($E143,CL,0)),"Unknown",INDIRECT("'C'!$A$"&amp;MATCH($E143,CL,0)+1)))</f>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ref="X143:X174" ca="1" si="55">IF(AND(C143="Smelter not listed",OR(LEN(D143)=0,LEN(E143)=0)),1,0)</f>
        <v>0</v>
      </c>
      <c r="AB143" s="228" t="str">
        <f t="shared" ref="AB143:AB174" si="56">B143&amp;C143</f>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54"/>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55"/>
        <v>0</v>
      </c>
      <c r="AB144" s="228" t="str">
        <f t="shared" si="56"/>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54"/>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55"/>
        <v>0</v>
      </c>
      <c r="AB145" s="228" t="str">
        <f t="shared" si="56"/>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54"/>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55"/>
        <v>0</v>
      </c>
      <c r="AB146" s="228" t="str">
        <f t="shared" si="56"/>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54"/>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55"/>
        <v>0</v>
      </c>
      <c r="AB147" s="228" t="str">
        <f t="shared" si="56"/>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54"/>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55"/>
        <v>0</v>
      </c>
      <c r="AB148" s="228" t="str">
        <f t="shared" si="56"/>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54"/>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55"/>
        <v>0</v>
      </c>
      <c r="AB149" s="228" t="str">
        <f t="shared" si="56"/>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54"/>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55"/>
        <v>0</v>
      </c>
      <c r="AB150" s="228" t="str">
        <f t="shared" si="56"/>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54"/>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55"/>
        <v>0</v>
      </c>
      <c r="AB151" s="228" t="str">
        <f t="shared" si="56"/>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54"/>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55"/>
        <v>0</v>
      </c>
      <c r="AB152" s="228" t="str">
        <f t="shared" si="56"/>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54"/>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55"/>
        <v>0</v>
      </c>
      <c r="AB153" s="228" t="str">
        <f t="shared" si="56"/>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54"/>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55"/>
        <v>0</v>
      </c>
      <c r="AB154" s="228" t="str">
        <f t="shared" si="56"/>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54"/>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55"/>
        <v>0</v>
      </c>
      <c r="AB155" s="228" t="str">
        <f t="shared" si="56"/>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54"/>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55"/>
        <v>0</v>
      </c>
      <c r="AB156" s="228" t="str">
        <f t="shared" si="56"/>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54"/>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55"/>
        <v>0</v>
      </c>
      <c r="AB157" s="228" t="str">
        <f t="shared" si="56"/>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54"/>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55"/>
        <v>0</v>
      </c>
      <c r="AB158" s="228" t="str">
        <f t="shared" si="56"/>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54"/>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55"/>
        <v>0</v>
      </c>
      <c r="AB159" s="228" t="str">
        <f t="shared" si="56"/>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54"/>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55"/>
        <v>0</v>
      </c>
      <c r="AB160" s="228" t="str">
        <f t="shared" si="56"/>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54"/>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55"/>
        <v>0</v>
      </c>
      <c r="AB161" s="228" t="str">
        <f t="shared" si="56"/>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54"/>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55"/>
        <v>0</v>
      </c>
      <c r="AB162" s="228" t="str">
        <f t="shared" si="56"/>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54"/>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55"/>
        <v>0</v>
      </c>
      <c r="AB163" s="228" t="str">
        <f t="shared" si="56"/>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54"/>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55"/>
        <v>0</v>
      </c>
      <c r="AB164" s="228" t="str">
        <f t="shared" si="56"/>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54"/>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55"/>
        <v>0</v>
      </c>
      <c r="AB165" s="228" t="str">
        <f t="shared" si="56"/>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54"/>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55"/>
        <v>0</v>
      </c>
      <c r="AB166" s="228" t="str">
        <f t="shared" si="5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54"/>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55"/>
        <v>0</v>
      </c>
      <c r="AB167" s="228" t="str">
        <f t="shared" si="5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54"/>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55"/>
        <v>0</v>
      </c>
      <c r="AB168" s="228" t="str">
        <f t="shared" si="5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54"/>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55"/>
        <v>0</v>
      </c>
      <c r="AB169" s="228" t="str">
        <f t="shared" si="5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54"/>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55"/>
        <v>0</v>
      </c>
      <c r="AB170" s="228" t="str">
        <f t="shared" si="5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54"/>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55"/>
        <v>0</v>
      </c>
      <c r="AB171" s="228" t="str">
        <f t="shared" si="5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54"/>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55"/>
        <v>0</v>
      </c>
      <c r="AB172" s="228" t="str">
        <f t="shared" si="5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54"/>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55"/>
        <v>0</v>
      </c>
      <c r="AB173" s="228" t="str">
        <f t="shared" si="5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54"/>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55"/>
        <v>0</v>
      </c>
      <c r="AB174" s="228" t="str">
        <f t="shared" si="5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ref="S175:S205" ca="1" si="57">IF(B175="","",IF(ISERROR(MATCH($E175,CL,0)),"Unknown",INDIRECT("'C'!$A$"&amp;MATCH($E175,CL,0)+1)))</f>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ref="X175:X205" ca="1" si="58">IF(AND(C175="Smelter not listed",OR(LEN(D175)=0,LEN(E175)=0)),1,0)</f>
        <v>0</v>
      </c>
      <c r="AB175" s="228" t="str">
        <f t="shared" ref="AB175:AB205" si="59">B175&amp;C175</f>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57"/>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58"/>
        <v>0</v>
      </c>
      <c r="AB176" s="228" t="str">
        <f t="shared" si="59"/>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57"/>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58"/>
        <v>0</v>
      </c>
      <c r="AB177" s="228" t="str">
        <f t="shared" si="59"/>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57"/>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58"/>
        <v>0</v>
      </c>
      <c r="AB178" s="228" t="str">
        <f t="shared" si="59"/>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57"/>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58"/>
        <v>0</v>
      </c>
      <c r="AB179" s="228" t="str">
        <f t="shared" si="59"/>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57"/>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58"/>
        <v>0</v>
      </c>
      <c r="AB180" s="228" t="str">
        <f t="shared" si="59"/>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57"/>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58"/>
        <v>0</v>
      </c>
      <c r="AB181" s="228" t="str">
        <f t="shared" si="59"/>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57"/>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58"/>
        <v>0</v>
      </c>
      <c r="AB182" s="228" t="str">
        <f t="shared" si="59"/>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57"/>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58"/>
        <v>0</v>
      </c>
      <c r="AB183" s="228" t="str">
        <f t="shared" si="59"/>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57"/>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58"/>
        <v>0</v>
      </c>
      <c r="AB184" s="228" t="str">
        <f t="shared" si="59"/>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57"/>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58"/>
        <v>0</v>
      </c>
      <c r="AB185" s="228" t="str">
        <f t="shared" si="59"/>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57"/>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58"/>
        <v>0</v>
      </c>
      <c r="AB186" s="228" t="str">
        <f t="shared" si="59"/>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57"/>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58"/>
        <v>0</v>
      </c>
      <c r="AB187" s="228" t="str">
        <f t="shared" si="59"/>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57"/>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58"/>
        <v>0</v>
      </c>
      <c r="AB188" s="228" t="str">
        <f t="shared" si="59"/>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57"/>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58"/>
        <v>0</v>
      </c>
      <c r="AB189" s="228" t="str">
        <f t="shared" si="59"/>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57"/>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58"/>
        <v>0</v>
      </c>
      <c r="AB190" s="228" t="str">
        <f t="shared" si="59"/>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57"/>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58"/>
        <v>0</v>
      </c>
      <c r="AB191" s="228" t="str">
        <f t="shared" si="59"/>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57"/>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58"/>
        <v>0</v>
      </c>
      <c r="AB192" s="228" t="str">
        <f t="shared" si="59"/>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5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58"/>
        <v>0</v>
      </c>
      <c r="AB193" s="228" t="str">
        <f t="shared" si="59"/>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5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58"/>
        <v>0</v>
      </c>
      <c r="AB194" s="228" t="str">
        <f t="shared" si="59"/>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5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58"/>
        <v>0</v>
      </c>
      <c r="AB195" s="228" t="str">
        <f t="shared" si="59"/>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5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58"/>
        <v>0</v>
      </c>
      <c r="AB196" s="228" t="str">
        <f t="shared" si="59"/>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5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58"/>
        <v>0</v>
      </c>
      <c r="AB197" s="228" t="str">
        <f t="shared" si="59"/>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5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58"/>
        <v>0</v>
      </c>
      <c r="AB198" s="228" t="str">
        <f t="shared" si="5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5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58"/>
        <v>0</v>
      </c>
      <c r="AB199" s="228" t="str">
        <f t="shared" si="5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5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58"/>
        <v>0</v>
      </c>
      <c r="AB200" s="228" t="str">
        <f t="shared" si="5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5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58"/>
        <v>0</v>
      </c>
      <c r="AB201" s="228" t="str">
        <f t="shared" si="5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5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58"/>
        <v>0</v>
      </c>
      <c r="AB202" s="228" t="str">
        <f t="shared" si="5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5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58"/>
        <v>0</v>
      </c>
      <c r="AB203" s="228" t="str">
        <f t="shared" si="5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5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58"/>
        <v>0</v>
      </c>
      <c r="AB204" s="228" t="str">
        <f t="shared" si="5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5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58"/>
        <v>0</v>
      </c>
      <c r="AB205" s="228" t="str">
        <f t="shared" si="5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ref="S206" ca="1" si="60">IF(B206="","",IF(ISERROR(MATCH($E206,CL,0)),"Unknown",INDIRECT("'C'!$A$"&amp;MATCH($E206,CL,0)+1)))</f>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ref="X206" ca="1" si="61">IF(AND(C206="Smelter not listed",OR(LEN(D206)=0,LEN(E206)=0)),1,0)</f>
        <v>0</v>
      </c>
      <c r="AB206" s="228" t="str">
        <f t="shared" ref="AB206" si="62">B206&amp;C206</f>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ref="S207:S238" ca="1" si="63">IF(B207="","",IF(ISERROR(MATCH($E207,CL,0)),"Unknown",INDIRECT("'C'!$A$"&amp;MATCH($E207,CL,0)+1)))</f>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ref="X207:X238" ca="1" si="64">IF(AND(C207="Smelter not listed",OR(LEN(D207)=0,LEN(E207)=0)),1,0)</f>
        <v>0</v>
      </c>
      <c r="AB207" s="228" t="str">
        <f t="shared" ref="AB207:AB238" si="65">B207&amp;C207</f>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63"/>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64"/>
        <v>0</v>
      </c>
      <c r="AB208" s="228" t="str">
        <f t="shared" si="65"/>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63"/>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64"/>
        <v>0</v>
      </c>
      <c r="AB209" s="228" t="str">
        <f t="shared" si="65"/>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63"/>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64"/>
        <v>0</v>
      </c>
      <c r="AB210" s="228" t="str">
        <f t="shared" si="65"/>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63"/>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64"/>
        <v>0</v>
      </c>
      <c r="AB211" s="228" t="str">
        <f t="shared" si="65"/>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63"/>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64"/>
        <v>0</v>
      </c>
      <c r="AB212" s="228" t="str">
        <f t="shared" si="65"/>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63"/>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64"/>
        <v>0</v>
      </c>
      <c r="AB213" s="228" t="str">
        <f t="shared" si="65"/>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63"/>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64"/>
        <v>0</v>
      </c>
      <c r="AB214" s="228" t="str">
        <f t="shared" si="65"/>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63"/>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64"/>
        <v>0</v>
      </c>
      <c r="AB215" s="228" t="str">
        <f t="shared" si="65"/>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63"/>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64"/>
        <v>0</v>
      </c>
      <c r="AB216" s="228" t="str">
        <f t="shared" si="65"/>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63"/>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64"/>
        <v>0</v>
      </c>
      <c r="AB217" s="228" t="str">
        <f t="shared" si="65"/>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63"/>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64"/>
        <v>0</v>
      </c>
      <c r="AB218" s="228" t="str">
        <f t="shared" si="65"/>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63"/>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64"/>
        <v>0</v>
      </c>
      <c r="AB219" s="228" t="str">
        <f t="shared" si="65"/>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63"/>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64"/>
        <v>0</v>
      </c>
      <c r="AB220" s="228" t="str">
        <f t="shared" si="65"/>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63"/>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64"/>
        <v>0</v>
      </c>
      <c r="AB221" s="228" t="str">
        <f t="shared" si="65"/>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63"/>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64"/>
        <v>0</v>
      </c>
      <c r="AB222" s="228" t="str">
        <f t="shared" si="65"/>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63"/>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64"/>
        <v>0</v>
      </c>
      <c r="AB223" s="228" t="str">
        <f t="shared" si="65"/>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63"/>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64"/>
        <v>0</v>
      </c>
      <c r="AB224" s="228" t="str">
        <f t="shared" si="65"/>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63"/>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64"/>
        <v>0</v>
      </c>
      <c r="AB225" s="228" t="str">
        <f t="shared" si="65"/>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6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64"/>
        <v>0</v>
      </c>
      <c r="AB226" s="228" t="str">
        <f t="shared" si="6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6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64"/>
        <v>0</v>
      </c>
      <c r="AB227" s="228" t="str">
        <f t="shared" si="6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6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64"/>
        <v>0</v>
      </c>
      <c r="AB228" s="228" t="str">
        <f t="shared" si="6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6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64"/>
        <v>0</v>
      </c>
      <c r="AB229" s="228" t="str">
        <f t="shared" si="6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6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64"/>
        <v>0</v>
      </c>
      <c r="AB230" s="228" t="str">
        <f t="shared" si="6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6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64"/>
        <v>0</v>
      </c>
      <c r="AB231" s="228" t="str">
        <f t="shared" si="6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6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64"/>
        <v>0</v>
      </c>
      <c r="AB232" s="228" t="str">
        <f t="shared" si="6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6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64"/>
        <v>0</v>
      </c>
      <c r="AB233" s="228" t="str">
        <f t="shared" si="6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6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64"/>
        <v>0</v>
      </c>
      <c r="AB234" s="228" t="str">
        <f t="shared" si="6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6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64"/>
        <v>0</v>
      </c>
      <c r="AB235" s="228" t="str">
        <f t="shared" si="6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6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64"/>
        <v>0</v>
      </c>
      <c r="AB236" s="228" t="str">
        <f t="shared" si="6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6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64"/>
        <v>0</v>
      </c>
      <c r="AB237" s="228" t="str">
        <f t="shared" si="6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6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64"/>
        <v>0</v>
      </c>
      <c r="AB238" s="228" t="str">
        <f t="shared" si="6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ref="S239:S269" ca="1" si="66">IF(B239="","",IF(ISERROR(MATCH($E239,CL,0)),"Unknown",INDIRECT("'C'!$A$"&amp;MATCH($E239,CL,0)+1)))</f>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ref="X239:X269" ca="1" si="67">IF(AND(C239="Smelter not listed",OR(LEN(D239)=0,LEN(E239)=0)),1,0)</f>
        <v>0</v>
      </c>
      <c r="AB239" s="228" t="str">
        <f t="shared" ref="AB239:AB269" si="68">B239&amp;C239</f>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66"/>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67"/>
        <v>0</v>
      </c>
      <c r="AB240" s="228" t="str">
        <f t="shared" si="68"/>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66"/>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67"/>
        <v>0</v>
      </c>
      <c r="AB241" s="228" t="str">
        <f t="shared" si="68"/>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6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67"/>
        <v>0</v>
      </c>
      <c r="AB242" s="228" t="str">
        <f t="shared" si="68"/>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6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67"/>
        <v>0</v>
      </c>
      <c r="AB243" s="228" t="str">
        <f t="shared" si="68"/>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6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67"/>
        <v>0</v>
      </c>
      <c r="AB244" s="228" t="str">
        <f t="shared" si="68"/>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6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67"/>
        <v>0</v>
      </c>
      <c r="AB245" s="228" t="str">
        <f t="shared" si="68"/>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6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67"/>
        <v>0</v>
      </c>
      <c r="AB246" s="228" t="str">
        <f t="shared" si="68"/>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6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67"/>
        <v>0</v>
      </c>
      <c r="AB247" s="228" t="str">
        <f t="shared" si="68"/>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6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67"/>
        <v>0</v>
      </c>
      <c r="AB248" s="228" t="str">
        <f t="shared" si="68"/>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6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67"/>
        <v>0</v>
      </c>
      <c r="AB249" s="228" t="str">
        <f t="shared" si="68"/>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6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67"/>
        <v>0</v>
      </c>
      <c r="AB250" s="228" t="str">
        <f t="shared" si="68"/>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6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67"/>
        <v>0</v>
      </c>
      <c r="AB251" s="228" t="str">
        <f t="shared" si="68"/>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6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67"/>
        <v>0</v>
      </c>
      <c r="AB252" s="228" t="str">
        <f t="shared" si="68"/>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6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67"/>
        <v>0</v>
      </c>
      <c r="AB253" s="228" t="str">
        <f t="shared" si="68"/>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6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67"/>
        <v>0</v>
      </c>
      <c r="AB254" s="228" t="str">
        <f t="shared" si="6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6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67"/>
        <v>0</v>
      </c>
      <c r="AB255" s="228" t="str">
        <f t="shared" si="6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6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67"/>
        <v>0</v>
      </c>
      <c r="AB256" s="228" t="str">
        <f t="shared" si="6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6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67"/>
        <v>0</v>
      </c>
      <c r="AB257" s="228" t="str">
        <f t="shared" si="6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6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67"/>
        <v>0</v>
      </c>
      <c r="AB258" s="228" t="str">
        <f t="shared" si="6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6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67"/>
        <v>0</v>
      </c>
      <c r="AB259" s="228" t="str">
        <f t="shared" si="6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6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67"/>
        <v>0</v>
      </c>
      <c r="AB260" s="228" t="str">
        <f t="shared" si="6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6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67"/>
        <v>0</v>
      </c>
      <c r="AB261" s="228" t="str">
        <f t="shared" si="6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6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67"/>
        <v>0</v>
      </c>
      <c r="AB262" s="228" t="str">
        <f t="shared" si="6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6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67"/>
        <v>0</v>
      </c>
      <c r="AB263" s="228" t="str">
        <f t="shared" si="6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6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67"/>
        <v>0</v>
      </c>
      <c r="AB264" s="228" t="str">
        <f t="shared" si="6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6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67"/>
        <v>0</v>
      </c>
      <c r="AB265" s="228" t="str">
        <f t="shared" si="6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6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67"/>
        <v>0</v>
      </c>
      <c r="AB266" s="228" t="str">
        <f t="shared" si="6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6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67"/>
        <v>0</v>
      </c>
      <c r="AB267" s="228" t="str">
        <f t="shared" si="6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6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67"/>
        <v>0</v>
      </c>
      <c r="AB268" s="228" t="str">
        <f t="shared" si="6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6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67"/>
        <v>0</v>
      </c>
      <c r="AB269" s="228" t="str">
        <f t="shared" si="6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ref="S270" ca="1" si="69">IF(B270="","",IF(ISERROR(MATCH($E270,CL,0)),"Unknown",INDIRECT("'C'!$A$"&amp;MATCH($E270,CL,0)+1)))</f>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ref="X270" ca="1" si="70">IF(AND(C270="Smelter not listed",OR(LEN(D270)=0,LEN(E270)=0)),1,0)</f>
        <v>0</v>
      </c>
      <c r="AB270" s="228" t="str">
        <f t="shared" ref="AB270" si="71">B270&amp;C270</f>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ref="S271:S302" ca="1" si="72">IF(B271="","",IF(ISERROR(MATCH($E271,CL,0)),"Unknown",INDIRECT("'C'!$A$"&amp;MATCH($E271,CL,0)+1)))</f>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ref="X271:X302" ca="1" si="73">IF(AND(C271="Smelter not listed",OR(LEN(D271)=0,LEN(E271)=0)),1,0)</f>
        <v>0</v>
      </c>
      <c r="AB271" s="228" t="str">
        <f t="shared" ref="AB271:AB302" si="74">B271&amp;C271</f>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72"/>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73"/>
        <v>0</v>
      </c>
      <c r="AB272" s="228" t="str">
        <f t="shared" si="74"/>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72"/>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73"/>
        <v>0</v>
      </c>
      <c r="AB273" s="228" t="str">
        <f t="shared" si="74"/>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72"/>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73"/>
        <v>0</v>
      </c>
      <c r="AB274" s="228" t="str">
        <f t="shared" si="74"/>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72"/>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73"/>
        <v>0</v>
      </c>
      <c r="AB275" s="228" t="str">
        <f t="shared" si="74"/>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72"/>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73"/>
        <v>0</v>
      </c>
      <c r="AB276" s="228" t="str">
        <f t="shared" si="74"/>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72"/>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73"/>
        <v>0</v>
      </c>
      <c r="AB277" s="228" t="str">
        <f t="shared" si="74"/>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72"/>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73"/>
        <v>0</v>
      </c>
      <c r="AB278" s="228" t="str">
        <f t="shared" si="74"/>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72"/>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73"/>
        <v>0</v>
      </c>
      <c r="AB279" s="228" t="str">
        <f t="shared" si="74"/>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72"/>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73"/>
        <v>0</v>
      </c>
      <c r="AB280" s="228" t="str">
        <f t="shared" si="74"/>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72"/>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73"/>
        <v>0</v>
      </c>
      <c r="AB281" s="228" t="str">
        <f t="shared" si="74"/>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72"/>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73"/>
        <v>0</v>
      </c>
      <c r="AB282" s="228" t="str">
        <f t="shared" si="74"/>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72"/>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73"/>
        <v>0</v>
      </c>
      <c r="AB283" s="228" t="str">
        <f t="shared" si="74"/>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72"/>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73"/>
        <v>0</v>
      </c>
      <c r="AB284" s="228" t="str">
        <f t="shared" si="74"/>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72"/>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73"/>
        <v>0</v>
      </c>
      <c r="AB285" s="228" t="str">
        <f t="shared" si="74"/>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72"/>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73"/>
        <v>0</v>
      </c>
      <c r="AB286" s="228" t="str">
        <f t="shared" si="74"/>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7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73"/>
        <v>0</v>
      </c>
      <c r="AB287" s="228" t="str">
        <f t="shared" si="74"/>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7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73"/>
        <v>0</v>
      </c>
      <c r="AB288" s="228" t="str">
        <f t="shared" si="74"/>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7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73"/>
        <v>0</v>
      </c>
      <c r="AB289" s="228" t="str">
        <f t="shared" si="7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7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73"/>
        <v>0</v>
      </c>
      <c r="AB290" s="228" t="str">
        <f t="shared" si="7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7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73"/>
        <v>0</v>
      </c>
      <c r="AB291" s="228" t="str">
        <f t="shared" si="7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7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73"/>
        <v>0</v>
      </c>
      <c r="AB292" s="228" t="str">
        <f t="shared" si="7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7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73"/>
        <v>0</v>
      </c>
      <c r="AB293" s="228" t="str">
        <f t="shared" si="7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7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73"/>
        <v>0</v>
      </c>
      <c r="AB294" s="228" t="str">
        <f t="shared" si="7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7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73"/>
        <v>0</v>
      </c>
      <c r="AB295" s="228" t="str">
        <f t="shared" si="7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7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73"/>
        <v>0</v>
      </c>
      <c r="AB296" s="228" t="str">
        <f t="shared" si="7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7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73"/>
        <v>0</v>
      </c>
      <c r="AB297" s="228" t="str">
        <f t="shared" si="7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7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73"/>
        <v>0</v>
      </c>
      <c r="AB298" s="228" t="str">
        <f t="shared" si="7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7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73"/>
        <v>0</v>
      </c>
      <c r="AB299" s="228" t="str">
        <f t="shared" si="7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7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73"/>
        <v>0</v>
      </c>
      <c r="AB300" s="228" t="str">
        <f t="shared" si="7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7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73"/>
        <v>0</v>
      </c>
      <c r="AB301" s="228" t="str">
        <f t="shared" si="7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7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73"/>
        <v>0</v>
      </c>
      <c r="AB302" s="228" t="str">
        <f t="shared" si="7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ref="S303:S333" ca="1" si="75">IF(B303="","",IF(ISERROR(MATCH($E303,CL,0)),"Unknown",INDIRECT("'C'!$A$"&amp;MATCH($E303,CL,0)+1)))</f>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ref="X303:X335" ca="1" si="76">IF(AND(C303="Smelter not listed",OR(LEN(D303)=0,LEN(E303)=0)),1,0)</f>
        <v>0</v>
      </c>
      <c r="AB303" s="228" t="str">
        <f t="shared" ref="AB303:AB333" si="77">B303&amp;C303</f>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75"/>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76"/>
        <v>0</v>
      </c>
      <c r="AB304" s="228" t="str">
        <f t="shared" si="77"/>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75"/>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76"/>
        <v>0</v>
      </c>
      <c r="AB305" s="228" t="str">
        <f t="shared" si="77"/>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7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76"/>
        <v>0</v>
      </c>
      <c r="AB306" s="228" t="str">
        <f t="shared" si="77"/>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7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76"/>
        <v>0</v>
      </c>
      <c r="AB307" s="228" t="str">
        <f t="shared" si="77"/>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7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76"/>
        <v>0</v>
      </c>
      <c r="AB308" s="228" t="str">
        <f t="shared" si="77"/>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7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76"/>
        <v>0</v>
      </c>
      <c r="AB309" s="228" t="str">
        <f t="shared" si="77"/>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7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76"/>
        <v>0</v>
      </c>
      <c r="AB310" s="228" t="str">
        <f t="shared" si="77"/>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7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76"/>
        <v>0</v>
      </c>
      <c r="AB311" s="228" t="str">
        <f t="shared" si="77"/>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7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76"/>
        <v>0</v>
      </c>
      <c r="AB312" s="228" t="str">
        <f t="shared" si="77"/>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7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76"/>
        <v>0</v>
      </c>
      <c r="AB313" s="228" t="str">
        <f t="shared" si="77"/>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7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76"/>
        <v>0</v>
      </c>
      <c r="AB314" s="228" t="str">
        <f t="shared" si="77"/>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7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76"/>
        <v>0</v>
      </c>
      <c r="AB315" s="228" t="str">
        <f t="shared" si="77"/>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7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76"/>
        <v>0</v>
      </c>
      <c r="AB316" s="228" t="str">
        <f t="shared" si="77"/>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7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76"/>
        <v>0</v>
      </c>
      <c r="AB317" s="228" t="str">
        <f t="shared" si="77"/>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7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76"/>
        <v>0</v>
      </c>
      <c r="AB318" s="228" t="str">
        <f t="shared" si="7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7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76"/>
        <v>0</v>
      </c>
      <c r="AB319" s="228" t="str">
        <f t="shared" si="7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7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76"/>
        <v>0</v>
      </c>
      <c r="AB320" s="228" t="str">
        <f t="shared" si="7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7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76"/>
        <v>0</v>
      </c>
      <c r="AB321" s="228" t="str">
        <f t="shared" si="7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7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76"/>
        <v>0</v>
      </c>
      <c r="AB322" s="228" t="str">
        <f t="shared" si="7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7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76"/>
        <v>0</v>
      </c>
      <c r="AB323" s="228" t="str">
        <f t="shared" si="7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7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76"/>
        <v>0</v>
      </c>
      <c r="AB324" s="228" t="str">
        <f t="shared" si="7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7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76"/>
        <v>0</v>
      </c>
      <c r="AB325" s="228" t="str">
        <f t="shared" si="7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7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76"/>
        <v>0</v>
      </c>
      <c r="AB326" s="228" t="str">
        <f t="shared" si="7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7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76"/>
        <v>0</v>
      </c>
      <c r="AB327" s="228" t="str">
        <f t="shared" si="7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7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76"/>
        <v>0</v>
      </c>
      <c r="AB328" s="228" t="str">
        <f t="shared" si="7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7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76"/>
        <v>0</v>
      </c>
      <c r="AB329" s="228" t="str">
        <f t="shared" si="7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7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76"/>
        <v>0</v>
      </c>
      <c r="AB330" s="228" t="str">
        <f t="shared" si="7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7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76"/>
        <v>0</v>
      </c>
      <c r="AB331" s="228" t="str">
        <f t="shared" si="7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7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76"/>
        <v>0</v>
      </c>
      <c r="AB332" s="228" t="str">
        <f t="shared" si="7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7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76"/>
        <v>0</v>
      </c>
      <c r="AB333" s="228" t="str">
        <f t="shared" si="7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ref="S334" ca="1" si="78">IF(B334="","",IF(ISERROR(MATCH($E334,CL,0)),"Unknown",INDIRECT("'C'!$A$"&amp;MATCH($E334,CL,0)+1)))</f>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76"/>
        <v>0</v>
      </c>
      <c r="AB334" s="228" t="str">
        <f t="shared" ref="AB334" si="79">B334&amp;C334</f>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ca="1">IF(B335="","",IF(ISERROR(MATCH($E335,CL,0)),"Unknown",INDIRECT("'C'!$A$"&amp;MATCH($E335,CL,0)+1)))</f>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76"/>
        <v>0</v>
      </c>
      <c r="AB335" s="228" t="str">
        <f>B335&amp;C335</f>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ref="S336" ca="1" si="80">IF(B336="","",IF(ISERROR(MATCH($E336,CL,0)),"Unknown",INDIRECT("'C'!$A$"&amp;MATCH($E336,CL,0)+1)))</f>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AB336" s="228"/>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ref="S337:S347" ca="1" si="81">IF(B337="","",IF(ISERROR(MATCH($E337,CL,0)),"Unknown",INDIRECT("'C'!$A$"&amp;MATCH($E337,CL,0)+1)))</f>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AB337" s="228"/>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81"/>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AB338" s="228"/>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81"/>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AB339" s="228"/>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81"/>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AB340" s="228"/>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81"/>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AB341" s="228"/>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81"/>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AB342" s="228"/>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81"/>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AB343" s="228"/>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81"/>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AB344" s="228"/>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81"/>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AB345" s="228"/>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81"/>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AB346" s="228"/>
    </row>
    <row r="347" spans="1:28" s="227" customFormat="1" ht="20.25">
      <c r="A347" s="181"/>
      <c r="B347" s="285" t="str">
        <f>IF(LEN(A347)=0,"",INDEX('Smelter Look-up'!$A:$A,MATCH($A347,'Smelter Look-up'!$E:$E,0)))</f>
        <v/>
      </c>
      <c r="C347" s="186" t="str">
        <f>IF(LEN(A347)=0,"",INDEX('Smelter Look-up'!$C:$C,MATCH($A347,'Smelter Look-up'!$E:$E,0)))</f>
        <v/>
      </c>
      <c r="D347" s="288"/>
      <c r="E347" s="285" t="str">
        <f ca="1">IF(ISERROR($V347),"",OFFSET('Smelter Look-up'!$D$4,$V347-4,0)&amp;"")</f>
        <v/>
      </c>
      <c r="F347" s="285" t="str">
        <f ca="1">IF(ISERROR($V347),"",OFFSET('Smelter Look-up'!$E$4,$V347-4,0))</f>
        <v/>
      </c>
      <c r="G347" s="285" t="str">
        <f ca="1">IF(C347=$X$4,IF(ISERROR($V347),"Enter smelter details","RMI"),IF(ISERROR($V347),"",OFFSET('Smelter Look-up'!$F$4,$V347-4,0)))</f>
        <v/>
      </c>
      <c r="H347" s="289" t="str">
        <f ca="1">IF(ISERROR($V347),"",OFFSET('Smelter Look-up'!$G$4,$V347-4,0))</f>
        <v/>
      </c>
      <c r="I347" s="290" t="str">
        <f ca="1">IF(ISERROR($V347),"",OFFSET('Smelter Look-up'!$H$4,$V347-4,0))</f>
        <v/>
      </c>
      <c r="J347" s="291" t="str">
        <f ca="1">IF(ISERROR($V347),"",OFFSET('Smelter Look-up'!$I$4,$V347-4,0))</f>
        <v/>
      </c>
      <c r="K347" s="224"/>
      <c r="L347" s="224"/>
      <c r="M347" s="224"/>
      <c r="N347" s="224"/>
      <c r="O347" s="224"/>
      <c r="P347" s="287"/>
      <c r="Q347" s="284"/>
      <c r="R347" s="286" t="str">
        <f ca="1">IF(ISERROR($V347),"",OFFSET('Smelter Look-up'!$C$4,$V347-4,0)&amp;"")</f>
        <v/>
      </c>
      <c r="S347" s="283" t="str">
        <f t="shared" ca="1" si="81"/>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ca="1">IF(AND(C347="Smelter not listed",OR(LEN(D347)=0,LEN(E347)=0)),1,0)</f>
        <v>0</v>
      </c>
      <c r="AB347" s="228" t="str">
        <f>B347&amp;C347</f>
        <v/>
      </c>
    </row>
    <row r="350" spans="1:28" ht="13.5" thickBot="1"/>
  </sheetData>
  <sheetProtection algorithmName="SHA-512" hashValue="4w3uha/bOqOO5B0xL2zSinZ9jeEJtc15Vrdu4DwA67rs7JHIeRgHVjLA076vckCmIGU+kkKkrhfQkWcBVYETmQ==" saltValue="tLkFOsOZt7jh4+Mh4Oio4Q==" spinCount="100000" sheet="1" formatRows="0" deleteRows="0" autoFilter="0"/>
  <autoFilter ref="A4:Q347"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FD887AC-66CB-4BCC-88E2-B6648B02CB5A}"/>
    </customSheetView>
  </customSheetViews>
  <mergeCells count="3">
    <mergeCell ref="J2:O2"/>
    <mergeCell ref="B3:E3"/>
    <mergeCell ref="G3:I3"/>
  </mergeCells>
  <conditionalFormatting sqref="B5:B347">
    <cfRule type="expression" dxfId="23" priority="1" stopIfTrue="1">
      <formula>IF(B5="",TRUE)</formula>
    </cfRule>
    <cfRule type="expression" dxfId="22" priority="2" stopIfTrue="1">
      <formula>IF(AND(COUNTIF(MetalSmelter,B5&amp;C5)=0,LEN(C5)&gt;0),TRUE,FALSE)</formula>
    </cfRule>
  </conditionalFormatting>
  <conditionalFormatting sqref="C5:C347">
    <cfRule type="expression" dxfId="21" priority="9" stopIfTrue="1">
      <formula>IF(AND(B5&lt;&gt;"",C5=""),TRUE)</formula>
    </cfRule>
  </conditionalFormatting>
  <conditionalFormatting sqref="D5:D347">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347 R5:R347">
    <cfRule type="expression" dxfId="17" priority="7" stopIfTrue="1">
      <formula>IF(AND(E5="",$C5=$X$4),TRUE)</formula>
    </cfRule>
    <cfRule type="expression" dxfId="16" priority="8" stopIfTrue="1">
      <formula>IF(FIND("!",E5),TRUE)</formula>
    </cfRule>
  </conditionalFormatting>
  <conditionalFormatting sqref="F5:F347">
    <cfRule type="expression" dxfId="15" priority="5" stopIfTrue="1">
      <formula>IF(AND(LEN($A5)&gt;0,$A5&lt;&gt;$F5),TRUE,FALSE)</formula>
    </cfRule>
  </conditionalFormatting>
  <conditionalFormatting sqref="G5:G347">
    <cfRule type="expression" dxfId="14" priority="22" stopIfTrue="1">
      <formula>IF(FIND("Enter smelter details",G5),TRUE)</formula>
    </cfRule>
  </conditionalFormatting>
  <dataValidations count="5">
    <dataValidation type="list" allowBlank="1" showInputMessage="1" showErrorMessage="1" sqref="B5:B347" xr:uid="{00000000-0002-0000-0400-000000000000}">
      <formula1>Metal</formula1>
    </dataValidation>
    <dataValidation allowBlank="1" showErrorMessage="1" sqref="F5:G347" xr:uid="{00000000-0002-0000-0400-000001000000}"/>
    <dataValidation type="list" showInputMessage="1" showErrorMessage="1" sqref="C5:C347" xr:uid="{00000000-0002-0000-0400-000002000000}">
      <formula1>SN</formula1>
    </dataValidation>
    <dataValidation type="list" allowBlank="1" showInputMessage="1" showErrorMessage="1" sqref="E5:E347" xr:uid="{00000000-0002-0000-0400-000003000000}">
      <formula1>CL</formula1>
    </dataValidation>
    <dataValidation type="list" allowBlank="1" showInputMessage="1" showErrorMessage="1" sqref="P5:P34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B5:B347</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C5:C347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f ca="1">IF(H70=0,"0",H70)</f>
        <v>37</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f>Declaration!D8</f>
        <v>0</v>
      </c>
      <c r="C4" s="89" t="str">
        <f t="shared" ref="C4" ca="1" si="0">IF(H4=1,J4,I4)</f>
        <v>Provide your company name on the Declaration tab cell D8</v>
      </c>
      <c r="D4" s="95" t="str">
        <f>IF(H4=1,"Click here to enter Company Name","")</f>
        <v>Click here to enter Company Name</v>
      </c>
      <c r="E4" s="20" t="s">
        <v>1295</v>
      </c>
      <c r="F4" s="93">
        <v>1</v>
      </c>
      <c r="G4" s="70">
        <f t="shared" ref="G4" si="1">IF(B4=0,1,0)</f>
        <v>1</v>
      </c>
      <c r="H4" s="71">
        <f>F4*G4</f>
        <v>1</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f>Declaration!D15</f>
        <v>0</v>
      </c>
      <c r="C7" s="89" t="str">
        <f ca="1">IF(H7=1,J7,I7)</f>
        <v>Provide contact name in Declaration tab cell D15</v>
      </c>
      <c r="D7" s="95" t="str">
        <f>IF(H7=1,"Click here to enter Contact Name","")</f>
        <v>Click here to enter Contact Name</v>
      </c>
      <c r="E7" s="20" t="s">
        <v>1295</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1295</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f>Declaration!D17</f>
        <v>0</v>
      </c>
      <c r="C9" s="89" t="str">
        <f ca="1">IF(H9=1,J9,I9)</f>
        <v>Provide a phone number for contact in Declaration tab cell D17</v>
      </c>
      <c r="D9" s="95" t="str">
        <f>IF(H9=1,"Click here to enter Phone-Contact","")</f>
        <v>Click here to enter Phone-Contact</v>
      </c>
      <c r="E9" s="20" t="s">
        <v>1295</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Luca Bordin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l.bordin@inventronicsglobal.com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0</v>
      </c>
      <c r="C12" s="89" t="str">
        <f ca="1">IF(H12=1,J12,I12)</f>
        <v>Provide date the form was completed on Declaration tab cell D22</v>
      </c>
      <c r="D12" s="95" t="str">
        <f>IF(H12=1,"Click here to enter Date of Completion","")</f>
        <v>Click here to enter Date of Completion</v>
      </c>
      <c r="E12" s="20" t="s">
        <v>1295</v>
      </c>
      <c r="F12" s="93">
        <v>1</v>
      </c>
      <c r="G12" s="70">
        <f>IF(B12=0,1,0)</f>
        <v>1</v>
      </c>
      <c r="H12" s="71">
        <f t="shared" si="3"/>
        <v>1</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f>Declaration!D26</f>
        <v>0</v>
      </c>
      <c r="C14" s="89" t="str">
        <f ca="1">IF(H14=1,J14,I14)</f>
        <v>Declare if Tantalum is intentionally added to your products on Declaration tab cell D26</v>
      </c>
      <c r="D14" s="95" t="str">
        <f>IF(H14=1,"Click here to answer question 1 for Tantalum","")</f>
        <v>Click here to answer question 1 for Tantalum</v>
      </c>
      <c r="E14" s="20" t="s">
        <v>796</v>
      </c>
      <c r="F14" s="93">
        <v>1</v>
      </c>
      <c r="G14" s="70">
        <f>IF(B14=0,1,0)</f>
        <v>1</v>
      </c>
      <c r="H14" s="71">
        <f t="shared" si="3"/>
        <v>1</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f>Declaration!D27</f>
        <v>0</v>
      </c>
      <c r="C15" s="89" t="str">
        <f ca="1">IF(H15=1,J15,I15)</f>
        <v>Declare if Tin is intentionally added to your products on Declaration tab cell D27</v>
      </c>
      <c r="D15" s="95" t="str">
        <f>IF(H15=1,"Click here to answer question 1 for Tin","")</f>
        <v>Click here to answer question 1 for Tin</v>
      </c>
      <c r="E15" s="20" t="s">
        <v>797</v>
      </c>
      <c r="F15" s="93">
        <v>1</v>
      </c>
      <c r="G15" s="70">
        <f>IF(B15=0,1,0)</f>
        <v>1</v>
      </c>
      <c r="H15" s="71">
        <f t="shared" si="3"/>
        <v>1</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f>Declaration!D28</f>
        <v>0</v>
      </c>
      <c r="C16" s="89" t="str">
        <f ca="1">IF(H16=1,J16,I16)</f>
        <v>Declare if Gold is intentionally added to your products on Declaration tab cell D28</v>
      </c>
      <c r="D16" s="95" t="str">
        <f>IF(H16=1,"Click here to answer question 1 for Gold","")</f>
        <v>Click here to answer question 1 for Gold</v>
      </c>
      <c r="E16" s="20" t="s">
        <v>797</v>
      </c>
      <c r="F16" s="93">
        <v>1</v>
      </c>
      <c r="G16" s="70">
        <f>IF(B16=0,1,0)</f>
        <v>1</v>
      </c>
      <c r="H16" s="71">
        <f t="shared" si="3"/>
        <v>1</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f>Declaration!D29</f>
        <v>0</v>
      </c>
      <c r="C17" s="89" t="str">
        <f ca="1">IF(H17=1,J17,I17)</f>
        <v>Declare if Tungsten is intentionally added to your products on Declaration tab cell D29</v>
      </c>
      <c r="D17" s="95" t="str">
        <f>IF(H17=1,"Click here to answer question 1 for Tungsten","")</f>
        <v>Click here to answer question 1 for Tungsten</v>
      </c>
      <c r="E17" s="20" t="s">
        <v>797</v>
      </c>
      <c r="F17" s="93">
        <v>1</v>
      </c>
      <c r="G17" s="70">
        <f>IF(B17=0,1,0)</f>
        <v>1</v>
      </c>
      <c r="H17" s="71">
        <f t="shared" si="3"/>
        <v>1</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f>IF($B$14="Yes",Declaration!D32,0)</f>
        <v>0</v>
      </c>
      <c r="C19" s="89" t="str">
        <f ca="1">IF(H19=1,J19,I19)</f>
        <v>Declare if Tantalum is necessary to the production of your products and contained within the finished products declared in Declaration tab cell D32</v>
      </c>
      <c r="D19" s="97" t="str">
        <f>IF(H19=1,"Click here to answer question 2 for Tantalum","")</f>
        <v>Click here to answer question 2 for Tantalum</v>
      </c>
      <c r="E19" s="20" t="s">
        <v>797</v>
      </c>
      <c r="F19" s="94">
        <f>IF(B$14="No",0,1)</f>
        <v>1</v>
      </c>
      <c r="G19" s="70">
        <f>IF(B19=0,1,0)</f>
        <v>1</v>
      </c>
      <c r="H19" s="71">
        <f>F19*G19</f>
        <v>1</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f>IF($B$15="Yes",Declaration!D33,0)</f>
        <v>0</v>
      </c>
      <c r="C20" s="89" t="str">
        <f ca="1">IF(H20=1,J20,I20)</f>
        <v>Declare if Tin is necessary to the production of your products and contained within the finished products declared in Declaration tab cell D33</v>
      </c>
      <c r="D20" s="97" t="str">
        <f>IF(H20=1,"Click here to answer question 2 for Tin","")</f>
        <v>Click here to answer question 2 for Tin</v>
      </c>
      <c r="E20" s="20" t="s">
        <v>797</v>
      </c>
      <c r="F20" s="94">
        <f>IF(B$15="No",0,1)</f>
        <v>1</v>
      </c>
      <c r="G20" s="70">
        <f>IF(B20=0,1,0)</f>
        <v>1</v>
      </c>
      <c r="H20" s="71">
        <f>F20*G20</f>
        <v>1</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f>IF($B$16="Yes",Declaration!D34,0)</f>
        <v>0</v>
      </c>
      <c r="C21" s="89" t="str">
        <f ca="1">IF(H21=1,J21,I21)</f>
        <v>Declare if Gold is necessary to the production of your products and contained within the finished products declared in Declaration tab cell D34</v>
      </c>
      <c r="D21" s="97" t="str">
        <f>IF(H21=1,"Click here to answer question 2 for Gold","")</f>
        <v>Click here to answer question 2 for Gold</v>
      </c>
      <c r="E21" s="20" t="s">
        <v>797</v>
      </c>
      <c r="F21" s="94">
        <f>IF(B$16="No",0,1)</f>
        <v>1</v>
      </c>
      <c r="G21" s="70">
        <f>IF(B21=0,1,0)</f>
        <v>1</v>
      </c>
      <c r="H21" s="71">
        <f>F21*G21</f>
        <v>1</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f>IF($B$17="Yes",Declaration!D35,0)</f>
        <v>0</v>
      </c>
      <c r="C22" s="89" t="str">
        <f ca="1">IF(H22=1,J22,I22)</f>
        <v>Declare if Tungsten is necessary to the production of your products and contained within the finished products declared in Declaration tab cell D35</v>
      </c>
      <c r="D22" s="97" t="str">
        <f>IF(H22=1,"Click here to answer question 2 for Tungsten","")</f>
        <v>Click here to answer question 2 for Tungsten</v>
      </c>
      <c r="E22" s="20" t="s">
        <v>797</v>
      </c>
      <c r="F22" s="94">
        <f>IF(B$17="No",0,1)</f>
        <v>1</v>
      </c>
      <c r="G22" s="70">
        <f>IF(B22=0,1,0)</f>
        <v>1</v>
      </c>
      <c r="H22" s="71">
        <f>F22*G22</f>
        <v>1</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f>IF(AND($B$14="Yes",$B$19="Yes"),Declaration!D38,0)</f>
        <v>0</v>
      </c>
      <c r="C24" s="89" t="str">
        <f ca="1">IF(H24=1,J24,I24)</f>
        <v>Declare if Tantalum used within the scope of products declared within this survey response originated from the DRC or an adjoining Country on the Declaration tab cell D38</v>
      </c>
      <c r="D24" s="97" t="str">
        <f>IF(H24=1,"Click here to answer question 3 for Tantalum","")</f>
        <v>Click here to answer question 3 for Tantalum</v>
      </c>
      <c r="E24" s="20" t="s">
        <v>797</v>
      </c>
      <c r="F24" s="94">
        <f>IF(OR(B14="No",B19="No"),0,1)</f>
        <v>1</v>
      </c>
      <c r="G24" s="70">
        <f t="shared" ref="G24" si="6">IF(B24=0,1,0)</f>
        <v>1</v>
      </c>
      <c r="H24" s="71">
        <f t="shared" ref="H24" si="7">F24*G24</f>
        <v>1</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f>IF(AND($B$15="Yes",$B$20="Yes"),Declaration!D39,0)</f>
        <v>0</v>
      </c>
      <c r="C25" s="89" t="str">
        <f ca="1">IF(H25=1,J25,I25)</f>
        <v>Declare if Tin used within the scope of products declared within this survey response originated from the DRC or an adjoining Country on the Declaration tab cell D39</v>
      </c>
      <c r="D25" s="97" t="str">
        <f>IF(H25=1,"Click here to answer question 3 for Tin","")</f>
        <v>Click here to answer question 3 for Tin</v>
      </c>
      <c r="E25" s="20" t="s">
        <v>797</v>
      </c>
      <c r="F25" s="94">
        <f>IF(OR(B15="No",B20="No"),0,1)</f>
        <v>1</v>
      </c>
      <c r="G25" s="70">
        <f>IF(B25=0,1,0)</f>
        <v>1</v>
      </c>
      <c r="H25" s="71">
        <f>F25*G25</f>
        <v>1</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f>IF(AND($B$16="Yes",$B$21="Yes"),Declaration!D40,0)</f>
        <v>0</v>
      </c>
      <c r="C26" s="89" t="str">
        <f ca="1">IF(H26=1,J26,I26)</f>
        <v>Declare if Gold used within the scope of products declared within this survey response originated from the DRC or an adjoining Country on the Declaration tab cell D40</v>
      </c>
      <c r="D26" s="97" t="str">
        <f>IF(H26=1,"Click here to answer question 3 for Gold","")</f>
        <v>Click here to answer question 3 for Gold</v>
      </c>
      <c r="E26" s="20" t="s">
        <v>797</v>
      </c>
      <c r="F26" s="94">
        <f>IF(OR(B16="No",B21="No"),0,1)</f>
        <v>1</v>
      </c>
      <c r="G26" s="70">
        <f>IF(B26=0,1,0)</f>
        <v>1</v>
      </c>
      <c r="H26" s="71">
        <f>F26*G26</f>
        <v>1</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f>IF(AND($B$17="Yes",$B$22="Yes"),Declaration!D41,0)</f>
        <v>0</v>
      </c>
      <c r="C27" s="89" t="str">
        <f ca="1">IF(H27=1,J27,I27)</f>
        <v>Declare if Tungsten used within the scope of products declared within this survey response originated from the DRC or an adjoining Country on the Declaration tab cell D41</v>
      </c>
      <c r="D27" s="97" t="str">
        <f>IF(H27=1,"Click here to answer question 3 for Tungsten","")</f>
        <v>Click here to answer question 3 for Tungsten</v>
      </c>
      <c r="E27" s="20" t="s">
        <v>797</v>
      </c>
      <c r="F27" s="94">
        <f>IF(OR(B17="No",B22="No"),0,1)</f>
        <v>1</v>
      </c>
      <c r="G27" s="70">
        <f>IF(B27=0,1,0)</f>
        <v>1</v>
      </c>
      <c r="H27" s="71">
        <f>F27*G27</f>
        <v>1</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f>IF(AND($B$14="Yes",$B$19="Yes"),Declaration!D44,0)</f>
        <v>0</v>
      </c>
      <c r="C29" s="89" t="str">
        <f ca="1">IF(H29=1,J29,I29)</f>
        <v>Declare if Tantalum used within the scope of products declared within this survey response originated from a conflict-affected and high-risk area on the Declaration tab cell D44</v>
      </c>
      <c r="D29" s="260" t="str">
        <f>IF(H29=1,"Click here to answer question 4 for Tantalum","")</f>
        <v>Click here to answer question 4 for Tantalum</v>
      </c>
      <c r="E29" s="20"/>
      <c r="F29" s="94">
        <f>F24</f>
        <v>1</v>
      </c>
      <c r="G29" s="70">
        <f t="shared" ref="G29" si="8">IF(B29=0,1,0)</f>
        <v>1</v>
      </c>
      <c r="H29" s="71">
        <f t="shared" ref="H29" si="9">F29*G29</f>
        <v>1</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f>IF(AND($B$15="Yes",$B$20="Yes"),Declaration!D45,0)</f>
        <v>0</v>
      </c>
      <c r="C30" s="89" t="str">
        <f ca="1">IF(H30=1,J30,I30)</f>
        <v>Declare if Tin used within the scope of products declared within this survey response originated from a conflict-affected and high-risk area on the Declaration tab cell D45</v>
      </c>
      <c r="D30" s="260" t="str">
        <f>IF(H30=1,"Click here to answer question 4 for Tin","")</f>
        <v>Click here to answer question 4 for Tin</v>
      </c>
      <c r="E30" s="20"/>
      <c r="F30" s="94">
        <f>F25</f>
        <v>1</v>
      </c>
      <c r="G30" s="70">
        <f>IF(B30=0,1,0)</f>
        <v>1</v>
      </c>
      <c r="H30" s="71">
        <f>F30*G30</f>
        <v>1</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f>IF(AND($B$16="Yes",$B$21="Yes"),Declaration!D46,0)</f>
        <v>0</v>
      </c>
      <c r="C31" s="89" t="str">
        <f ca="1">IF(H31=1,J31,I31)</f>
        <v>Declare if Gold used within the scope of products declared within this survey response originated from a conflict-affected and high-risk area on the Declaration tab cell D46</v>
      </c>
      <c r="D31" s="260" t="str">
        <f>IF(H31=1,"Click here to answer question 4 for Gold","")</f>
        <v>Click here to answer question 4 for Gold</v>
      </c>
      <c r="E31" s="20"/>
      <c r="F31" s="94">
        <f>F26</f>
        <v>1</v>
      </c>
      <c r="G31" s="70">
        <f>IF(B31=0,1,0)</f>
        <v>1</v>
      </c>
      <c r="H31" s="71">
        <f>F31*G31</f>
        <v>1</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f>IF(AND($B$17="Yes",$B$22="Yes"),Declaration!D47,0)</f>
        <v>0</v>
      </c>
      <c r="C32" s="89" t="str">
        <f ca="1">IF(H32=1,J32,I32)</f>
        <v>Declare if Tungsten used within the scope of products declared within this survey response originated from a conflict-affected and high-risk area on the Declaration tab cell D47</v>
      </c>
      <c r="D32" s="260" t="str">
        <f>IF(H32=1,"Click here to answer question 4 for Tungsten","")</f>
        <v>Click here to answer question 4 for Tungsten</v>
      </c>
      <c r="E32" s="20"/>
      <c r="F32" s="94">
        <f>F27</f>
        <v>1</v>
      </c>
      <c r="G32" s="70">
        <f>IF(B32=0,1,0)</f>
        <v>1</v>
      </c>
      <c r="H32" s="71">
        <f>F32*G32</f>
        <v>1</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Tantalum  (*)</v>
      </c>
      <c r="B34" s="89">
        <f>IF(AND($B$14="Yes",$B$19="Yes"),Declaration!D50,0)</f>
        <v>0</v>
      </c>
      <c r="C34" s="89" t="str">
        <f ca="1">IF(H34=1,J34,I34)</f>
        <v>Declare if Tantalum used within the scope of products declared within this survey response originated entirely from a recycled or scrap source on the Declaration tab cell D44</v>
      </c>
      <c r="D34" s="260" t="str">
        <f>IF(H34=1,"Click here to answer question 5 for Tantalum","")</f>
        <v>Click here to answer question 5 for Tantalum</v>
      </c>
      <c r="E34" s="20" t="s">
        <v>1295</v>
      </c>
      <c r="F34" s="94">
        <f>F24</f>
        <v>1</v>
      </c>
      <c r="G34" s="70">
        <f>IF(B34=0,1,0)</f>
        <v>1</v>
      </c>
      <c r="H34" s="71">
        <f>F34*G34</f>
        <v>1</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f>IF(AND($B$15="Yes",$B$20="Yes"),Declaration!D51,0)</f>
        <v>0</v>
      </c>
      <c r="C35" s="89" t="str">
        <f ca="1">IF(H35=1,J35,I35)</f>
        <v>Declare if Tin used within the scope of products declared within this survey response originated entirely from a recycled or scrap source on the Declaration tab cell D45</v>
      </c>
      <c r="D35" s="260" t="str">
        <f>IF(H35=1,"Click here to answer question 5 for Tin","")</f>
        <v>Click here to answer question 5 for Tin</v>
      </c>
      <c r="E35" s="20" t="s">
        <v>1295</v>
      </c>
      <c r="F35" s="94">
        <f>F25</f>
        <v>1</v>
      </c>
      <c r="G35" s="70">
        <f>IF(B35=0,1,0)</f>
        <v>1</v>
      </c>
      <c r="H35" s="71">
        <f>F35*G35</f>
        <v>1</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f>IF(AND($B$16="Yes",$B$21="Yes"),Declaration!D52,0)</f>
        <v>0</v>
      </c>
      <c r="C36" s="89" t="str">
        <f ca="1">IF(H36=1,J36,I36)</f>
        <v>Declare if Gold used within the scope of products declared within this survey response originated entirely from a recycled or scrap source on the Declaration tab cell D46</v>
      </c>
      <c r="D36" s="260" t="str">
        <f>IF(H36=1,"Click here to answer question 5 for Gold","")</f>
        <v>Click here to answer question 5 for Gold</v>
      </c>
      <c r="E36" s="20" t="s">
        <v>1295</v>
      </c>
      <c r="F36" s="94">
        <f>F26</f>
        <v>1</v>
      </c>
      <c r="G36" s="70">
        <f>IF(B36=0,1,0)</f>
        <v>1</v>
      </c>
      <c r="H36" s="71">
        <f>F36*G36</f>
        <v>1</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f>IF(AND($B$17="Yes",$B$22="Yes"),Declaration!D53,0)</f>
        <v>0</v>
      </c>
      <c r="C37" s="89" t="str">
        <f ca="1">IF(H37=1,J37,I37)</f>
        <v>Declare if Tungsten used within the scope of products declared within this survey response originated entirely from a recycled or scrap source on the Declaration tab cell D47</v>
      </c>
      <c r="D37" s="260" t="str">
        <f>IF(H37=1,"Click here to answer question 5 for Tungsten","")</f>
        <v>Click here to answer question 5 for Tungsten</v>
      </c>
      <c r="E37" s="20" t="s">
        <v>1295</v>
      </c>
      <c r="F37" s="94">
        <f>F27</f>
        <v>1</v>
      </c>
      <c r="G37" s="70">
        <f>IF(B37=0,1,0)</f>
        <v>1</v>
      </c>
      <c r="H37" s="71">
        <f>F37*G37</f>
        <v>1</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7">
        <f>IF(AND($B$14="Yes",$B$19="Yes"),Declaration!D56,0)</f>
        <v>0</v>
      </c>
      <c r="C39" s="89" t="str">
        <f ca="1">IF(H39=1,J39,I39)</f>
        <v>Provide % of completeness of supplier's smelter information on Declaration tab cell D50</v>
      </c>
      <c r="D39" s="261" t="str">
        <f>IF(H39=1,"Click here to answer question 6 for Tantalum","")</f>
        <v>Click here to answer question 6 for Tantalum</v>
      </c>
      <c r="E39" s="20" t="s">
        <v>796</v>
      </c>
      <c r="F39" s="94">
        <f>F24</f>
        <v>1</v>
      </c>
      <c r="G39" s="70">
        <f>IF(B39=0,1,0)</f>
        <v>1</v>
      </c>
      <c r="H39" s="71">
        <f>F39*G39</f>
        <v>1</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f>IF(AND($B$15="Yes",$B$20="Yes"),Declaration!D57,0)</f>
        <v>0</v>
      </c>
      <c r="C40" s="89" t="str">
        <f ca="1">IF(H40=1,J40,I40)</f>
        <v>Provide % of completeness of supplier's smelter information on Declaration tab cell D51</v>
      </c>
      <c r="D40" s="261" t="str">
        <f>IF(H40=1,"Click here to answer question 6 for Tin","")</f>
        <v>Click here to answer question 6 for Tin</v>
      </c>
      <c r="E40" s="20" t="s">
        <v>796</v>
      </c>
      <c r="F40" s="94">
        <f>F25</f>
        <v>1</v>
      </c>
      <c r="G40" s="70">
        <f>IF(B40=0,1,0)</f>
        <v>1</v>
      </c>
      <c r="H40" s="71">
        <f>F40*G40</f>
        <v>1</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f>IF(AND($B$16="Yes",$B$21="Yes"),Declaration!D58,0)</f>
        <v>0</v>
      </c>
      <c r="C41" s="89" t="str">
        <f ca="1">IF(H41=1,J41,I41)</f>
        <v>Provide % of completeness of supplier's smelter information on Declaration tab cell D52</v>
      </c>
      <c r="D41" s="261" t="str">
        <f>IF(H41=1,"Click here to answer question 6 for Gold","")</f>
        <v>Click here to answer question 6 for Gold</v>
      </c>
      <c r="E41" s="20" t="s">
        <v>796</v>
      </c>
      <c r="F41" s="94">
        <f>F26</f>
        <v>1</v>
      </c>
      <c r="G41" s="70">
        <f>IF(B41=0,1,0)</f>
        <v>1</v>
      </c>
      <c r="H41" s="71">
        <f>F41*G41</f>
        <v>1</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f>IF(AND($B$17="Yes",$B$22="Yes"),Declaration!D59,0)</f>
        <v>0</v>
      </c>
      <c r="C42" s="89" t="str">
        <f ca="1">IF(H42=1,J42,I42)</f>
        <v>Provide % of completeness of supplier's smelter information on Declaration tab cell D53</v>
      </c>
      <c r="D42" s="261" t="str">
        <f>IF(H42=1,"Click here to answer question 6 for Tungsten","")</f>
        <v>Click here to answer question 6 for Tungsten</v>
      </c>
      <c r="E42" s="20" t="s">
        <v>796</v>
      </c>
      <c r="F42" s="94">
        <f>F27</f>
        <v>1</v>
      </c>
      <c r="G42" s="70">
        <f>IF(B42=0,1,0)</f>
        <v>1</v>
      </c>
      <c r="H42" s="71">
        <f>F42*G42</f>
        <v>1</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f>IF(AND($B$14="Yes",$B$19="Yes"),Declaration!D62,0)</f>
        <v>0</v>
      </c>
      <c r="C44" s="89" t="str">
        <f ca="1">IF(H44=1,J44,I44)</f>
        <v>Declare if all smelter names have been provided in this survey response under the scope of products declared on the Declaration tab cell D56</v>
      </c>
      <c r="D44" s="260" t="str">
        <f>IF(H44=1,"Click here to answer question 7 for Tantalum","")</f>
        <v>Click here to answer question 7 for Tantalum</v>
      </c>
      <c r="E44" s="20" t="s">
        <v>1291</v>
      </c>
      <c r="F44" s="94">
        <f>F24</f>
        <v>1</v>
      </c>
      <c r="G44" s="70">
        <f>IF(B44=0,1,0)</f>
        <v>1</v>
      </c>
      <c r="H44" s="71">
        <f>F44*G44</f>
        <v>1</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f>IF(AND($B$15="Yes",$B$20="Yes"),Declaration!D63,0)</f>
        <v>0</v>
      </c>
      <c r="C45" s="89" t="str">
        <f ca="1">IF(H45=1,J45,I45)</f>
        <v>Declare if all smelter names have been provided in this survey response under the scope of products declared on the Declaration tab cell D57</v>
      </c>
      <c r="D45" s="260" t="str">
        <f>IF(H45=1,"Click here to answer question 7 for Tin","")</f>
        <v>Click here to answer question 7 for Tin</v>
      </c>
      <c r="E45" s="20" t="s">
        <v>1291</v>
      </c>
      <c r="F45" s="94">
        <f>F25</f>
        <v>1</v>
      </c>
      <c r="G45" s="70">
        <f>IF(B45=0,1,0)</f>
        <v>1</v>
      </c>
      <c r="H45" s="71">
        <f>F45*G45</f>
        <v>1</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f>IF(AND($B$16="Yes",$B$21="Yes"),Declaration!D64,0)</f>
        <v>0</v>
      </c>
      <c r="C46" s="89" t="str">
        <f ca="1">IF(H46=1,J46,I46)</f>
        <v>Declare if all smelter names have been provided in this survey response under the scope of products declared on the Declaration tab cell D58</v>
      </c>
      <c r="D46" s="260" t="str">
        <f>IF(H46=1,"Click here to answer question 7 for Gold","")</f>
        <v>Click here to answer question 7 for Gold</v>
      </c>
      <c r="E46" s="20" t="s">
        <v>1291</v>
      </c>
      <c r="F46" s="94">
        <f>F26</f>
        <v>1</v>
      </c>
      <c r="G46" s="70">
        <f>IF(B46=0,1,0)</f>
        <v>1</v>
      </c>
      <c r="H46" s="71">
        <f>F46*G46</f>
        <v>1</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f>IF(AND($B$17="Yes",$B$22="Yes"),Declaration!D65,0)</f>
        <v>0</v>
      </c>
      <c r="C47" s="89" t="str">
        <f ca="1">IF(H47=1,J47,I47)</f>
        <v>Declare if all smelter names have been provided in this survey response which the scope of products declared on the Declaration tab cell D59</v>
      </c>
      <c r="D47" s="260" t="str">
        <f>IF(H47=1,"Click here to answer question 7 for Tungsten","")</f>
        <v>Click here to answer question 7 for Tungsten</v>
      </c>
      <c r="E47" s="20" t="s">
        <v>1291</v>
      </c>
      <c r="F47" s="94">
        <f>F27</f>
        <v>1</v>
      </c>
      <c r="G47" s="70">
        <f>IF(B47=0,1,0)</f>
        <v>1</v>
      </c>
      <c r="H47" s="71">
        <f>F47*G47</f>
        <v>1</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f>IF(AND($B$14="Yes",$B$19="Yes"),Declaration!D68,0)</f>
        <v>0</v>
      </c>
      <c r="C49" s="89" t="str">
        <f ca="1">IF(H49=1,J49,I49)</f>
        <v>Declare if all applicable Tantalum smelter information has been provided on Declaration tab cell D62</v>
      </c>
      <c r="D49" s="261" t="str">
        <f>IF(H49=1,"Click here to answer question 8 for Tantalum","")</f>
        <v>Click here to answer question 8 for Tantalum</v>
      </c>
      <c r="E49" s="20" t="s">
        <v>797</v>
      </c>
      <c r="F49" s="94">
        <f>F24</f>
        <v>1</v>
      </c>
      <c r="G49" s="70">
        <f>IF(B49=0,1,0)</f>
        <v>1</v>
      </c>
      <c r="H49" s="71">
        <f>F49*G49</f>
        <v>1</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f>IF(AND($B$15="Yes",$B$20="Yes"),Declaration!D69,0)</f>
        <v>0</v>
      </c>
      <c r="C50" s="89" t="str">
        <f ca="1">IF(H50=1,J50,I50)</f>
        <v>Declare if all applicable Tin smelter information has been provided on Declaration tab cell D63</v>
      </c>
      <c r="D50" s="261" t="str">
        <f>IF(H50=1,"Click here to answer question 8 for Tin","")</f>
        <v>Click here to answer question 8 for Tin</v>
      </c>
      <c r="E50" s="20" t="s">
        <v>797</v>
      </c>
      <c r="F50" s="94">
        <f>F25</f>
        <v>1</v>
      </c>
      <c r="G50" s="70">
        <f>IF(B50=0,1,0)</f>
        <v>1</v>
      </c>
      <c r="H50" s="71">
        <f>F50*G50</f>
        <v>1</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f>IF(AND($B$16="Yes",$B$21="Yes"),Declaration!D70,0)</f>
        <v>0</v>
      </c>
      <c r="C51" s="89" t="str">
        <f ca="1">IF(H51=1,J51,I51)</f>
        <v>Declare if all applicable Gold smelter information has been provided on Declaration tab cell D64</v>
      </c>
      <c r="D51" s="261" t="str">
        <f>IF(H51=1,"Click here to answer question 8 for Gold","")</f>
        <v>Click here to answer question 8 for Gold</v>
      </c>
      <c r="E51" s="20" t="s">
        <v>797</v>
      </c>
      <c r="F51" s="94">
        <f>F26</f>
        <v>1</v>
      </c>
      <c r="G51" s="70">
        <f>IF(B51=0,1,0)</f>
        <v>1</v>
      </c>
      <c r="H51" s="71">
        <f>F51*G51</f>
        <v>1</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f>IF(AND($B$17="Yes",$B$22="Yes"),Declaration!D71,0)</f>
        <v>0</v>
      </c>
      <c r="C52" s="89" t="str">
        <f ca="1">IF(H52=1,J52,I52)</f>
        <v>Declare if all applicable Tungsten smelter information has been provided on Declaration tab cell D65</v>
      </c>
      <c r="D52" s="261" t="str">
        <f>IF(H52=1,"Click here to answer question 8 for Tungsten","")</f>
        <v>Click here to answer question 8 for Tungsten</v>
      </c>
      <c r="E52" s="20" t="s">
        <v>797</v>
      </c>
      <c r="F52" s="94">
        <f>F27</f>
        <v>1</v>
      </c>
      <c r="G52" s="70">
        <f>IF(B52=0,1,0)</f>
        <v>1</v>
      </c>
      <c r="H52" s="71">
        <f>F52*G52</f>
        <v>1</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https://www.inventronics-light.com/sustainability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List'!AB$5:AB$347,"Tantalum?*")&gt;0),0,1)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1</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List'!AB$5:AB$347,"Tin?*")&gt;0),0,1)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1</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List'!AB$5:AB$347,"Gold?*")&gt;0),0,1)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1</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List'!AB$5:AB$347,"Tungsten?*")&gt;0),0,1)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1</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37</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s="276"/>
    </row>
    <row r="2" spans="1:6" s="21" customFormat="1">
      <c r="A2" s="23"/>
      <c r="B2" s="120"/>
      <c r="C2" s="120"/>
      <c r="D2" s="276"/>
      <c r="E2" s="24"/>
      <c r="F2" s="276"/>
    </row>
    <row r="3" spans="1:6" s="21" customFormat="1">
      <c r="A3" s="23"/>
      <c r="B3" s="120"/>
      <c r="C3" s="120"/>
      <c r="D3" s="120"/>
      <c r="E3" s="24"/>
      <c r="F3" s="276"/>
    </row>
    <row r="4" spans="1:6" s="21" customFormat="1" ht="15.75" customHeight="1">
      <c r="A4" s="23"/>
      <c r="B4" s="392" t="s">
        <v>888</v>
      </c>
      <c r="C4" s="392"/>
      <c r="D4" s="392"/>
      <c r="E4" s="24"/>
      <c r="F4" s="276"/>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s="276"/>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2024 Responsible Minerals Initiative. All rights reserved.</v>
      </c>
      <c r="C2006" s="395"/>
      <c r="D2006" s="395"/>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s="189"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s="189"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s="189"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s="18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s="189"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s="65" t="s">
        <v>12435</v>
      </c>
      <c r="B2" s="65" t="s">
        <v>12926</v>
      </c>
    </row>
    <row r="3" spans="1:2">
      <c r="A3" s="65" t="s">
        <v>12448</v>
      </c>
      <c r="B3" s="65" t="s">
        <v>12936</v>
      </c>
    </row>
    <row r="4" spans="1:2">
      <c r="A4" s="65" t="s">
        <v>12439</v>
      </c>
      <c r="B4" s="65" t="s">
        <v>12929</v>
      </c>
    </row>
    <row r="5" spans="1:2">
      <c r="A5" s="65" t="s">
        <v>12495</v>
      </c>
      <c r="B5" s="65" t="s">
        <v>12974</v>
      </c>
    </row>
    <row r="6" spans="1:2">
      <c r="A6" s="65" t="s">
        <v>12444</v>
      </c>
      <c r="B6" s="65" t="s">
        <v>12934</v>
      </c>
    </row>
    <row r="7" spans="1:2">
      <c r="A7" s="65" t="s">
        <v>12433</v>
      </c>
      <c r="B7" s="65" t="s">
        <v>1081</v>
      </c>
    </row>
    <row r="8" spans="1:2">
      <c r="A8" s="65" t="s">
        <v>12441</v>
      </c>
      <c r="B8" s="65" t="s">
        <v>12931</v>
      </c>
    </row>
    <row r="9" spans="1:2">
      <c r="A9" s="65" t="s">
        <v>12437</v>
      </c>
      <c r="B9" s="65" t="s">
        <v>12928</v>
      </c>
    </row>
    <row r="10" spans="1:2">
      <c r="A10" s="65" t="s">
        <v>12442</v>
      </c>
      <c r="B10" s="65" t="s">
        <v>12932</v>
      </c>
    </row>
    <row r="11" spans="1:2">
      <c r="A11" s="65" t="s">
        <v>12436</v>
      </c>
      <c r="B11" s="65" t="s">
        <v>12927</v>
      </c>
    </row>
    <row r="12" spans="1:2">
      <c r="A12" s="65" t="s">
        <v>12443</v>
      </c>
      <c r="B12" s="65" t="s">
        <v>12933</v>
      </c>
    </row>
    <row r="13" spans="1:2">
      <c r="A13" s="65" t="s">
        <v>12440</v>
      </c>
      <c r="B13" s="65" t="s">
        <v>12930</v>
      </c>
    </row>
    <row r="14" spans="1:2">
      <c r="A14" s="65" t="s">
        <v>12447</v>
      </c>
      <c r="B14" s="65" t="s">
        <v>12935</v>
      </c>
    </row>
    <row r="15" spans="1:2">
      <c r="A15" s="65" t="s">
        <v>12446</v>
      </c>
      <c r="B15" s="65" t="s">
        <v>1083</v>
      </c>
    </row>
    <row r="16" spans="1:2">
      <c r="A16" s="65" t="s">
        <v>12445</v>
      </c>
      <c r="B16" s="65" t="s">
        <v>1084</v>
      </c>
    </row>
    <row r="17" spans="1:2">
      <c r="A17" s="65" t="s">
        <v>12449</v>
      </c>
      <c r="B17" s="65" t="s">
        <v>12937</v>
      </c>
    </row>
    <row r="18" spans="1:2">
      <c r="A18" s="65" t="s">
        <v>12465</v>
      </c>
      <c r="B18" s="65" t="s">
        <v>12950</v>
      </c>
    </row>
    <row r="19" spans="1:2">
      <c r="A19" s="65" t="s">
        <v>12456</v>
      </c>
      <c r="B19" s="65" t="s">
        <v>12943</v>
      </c>
    </row>
    <row r="20" spans="1:2">
      <c r="A20" s="65" t="s">
        <v>12452</v>
      </c>
      <c r="B20" s="65" t="s">
        <v>12940</v>
      </c>
    </row>
    <row r="21" spans="1:2">
      <c r="A21" s="65" t="s">
        <v>12451</v>
      </c>
      <c r="B21" s="65" t="s">
        <v>12939</v>
      </c>
    </row>
    <row r="22" spans="1:2">
      <c r="A22" s="65" t="s">
        <v>12469</v>
      </c>
      <c r="B22" s="65" t="s">
        <v>12954</v>
      </c>
    </row>
    <row r="23" spans="1:2">
      <c r="A23" s="65" t="s">
        <v>12453</v>
      </c>
      <c r="B23" s="65" t="s">
        <v>1085</v>
      </c>
    </row>
    <row r="24" spans="1:2">
      <c r="A24" s="65" t="s">
        <v>12470</v>
      </c>
      <c r="B24" s="65" t="s">
        <v>12955</v>
      </c>
    </row>
    <row r="25" spans="1:2">
      <c r="A25" s="65" t="s">
        <v>12458</v>
      </c>
      <c r="B25" s="65" t="s">
        <v>12945</v>
      </c>
    </row>
    <row r="26" spans="1:2">
      <c r="A26" s="65" t="s">
        <v>12460</v>
      </c>
      <c r="B26" s="65" t="s">
        <v>12947</v>
      </c>
    </row>
    <row r="27" spans="1:2">
      <c r="A27" s="65" t="s">
        <v>12466</v>
      </c>
      <c r="B27" s="65" t="s">
        <v>12951</v>
      </c>
    </row>
    <row r="28" spans="1:2">
      <c r="A28" s="65" t="s">
        <v>12462</v>
      </c>
      <c r="B28" s="65" t="s">
        <v>2413</v>
      </c>
    </row>
    <row r="29" spans="1:2">
      <c r="A29" s="65" t="s">
        <v>12463</v>
      </c>
      <c r="B29" s="65" t="s">
        <v>12949</v>
      </c>
    </row>
    <row r="30" spans="1:2">
      <c r="A30" s="65" t="s">
        <v>12450</v>
      </c>
      <c r="B30" s="65" t="s">
        <v>12938</v>
      </c>
    </row>
    <row r="31" spans="1:2">
      <c r="A31" s="65" t="s">
        <v>12468</v>
      </c>
      <c r="B31" s="65" t="s">
        <v>12953</v>
      </c>
    </row>
    <row r="32" spans="1:2">
      <c r="A32" s="65" t="s">
        <v>12467</v>
      </c>
      <c r="B32" s="65" t="s">
        <v>12952</v>
      </c>
    </row>
    <row r="33" spans="1:2">
      <c r="A33" s="65" t="s">
        <v>12464</v>
      </c>
      <c r="B33" s="65" t="s">
        <v>1086</v>
      </c>
    </row>
    <row r="34" spans="1:2">
      <c r="A34" s="65" t="s">
        <v>12539</v>
      </c>
      <c r="B34" s="65" t="s">
        <v>13012</v>
      </c>
    </row>
    <row r="35" spans="1:2">
      <c r="A35" s="65" t="s">
        <v>12461</v>
      </c>
      <c r="B35" s="65" t="s">
        <v>12948</v>
      </c>
    </row>
    <row r="36" spans="1:2">
      <c r="A36" s="65" t="s">
        <v>12455</v>
      </c>
      <c r="B36" s="65" t="s">
        <v>12942</v>
      </c>
    </row>
    <row r="37" spans="1:2">
      <c r="A37" s="65" t="s">
        <v>12454</v>
      </c>
      <c r="B37" s="65" t="s">
        <v>12941</v>
      </c>
    </row>
    <row r="38" spans="1:2">
      <c r="A38" s="65" t="s">
        <v>12457</v>
      </c>
      <c r="B38" s="65" t="s">
        <v>12944</v>
      </c>
    </row>
    <row r="39" spans="1:2">
      <c r="A39" s="65" t="s">
        <v>12485</v>
      </c>
      <c r="B39" s="65" t="s">
        <v>12966</v>
      </c>
    </row>
    <row r="40" spans="1:2">
      <c r="A40" s="65" t="s">
        <v>12550</v>
      </c>
      <c r="B40" s="65" t="s">
        <v>13020</v>
      </c>
    </row>
    <row r="41" spans="1:2">
      <c r="A41" s="65" t="s">
        <v>12480</v>
      </c>
      <c r="B41" s="65" t="s">
        <v>12962</v>
      </c>
    </row>
    <row r="42" spans="1:2">
      <c r="A42" s="65" t="s">
        <v>12471</v>
      </c>
      <c r="B42" s="65" t="s">
        <v>1087</v>
      </c>
    </row>
    <row r="43" spans="1:2">
      <c r="A43" s="65" t="s">
        <v>12557</v>
      </c>
      <c r="B43" s="65" t="s">
        <v>13026</v>
      </c>
    </row>
    <row r="44" spans="1:2">
      <c r="A44" s="65" t="s">
        <v>12474</v>
      </c>
      <c r="B44" s="65" t="s">
        <v>12958</v>
      </c>
    </row>
    <row r="45" spans="1:2">
      <c r="A45" s="65" t="s">
        <v>12647</v>
      </c>
      <c r="B45" s="65" t="s">
        <v>13100</v>
      </c>
    </row>
    <row r="46" spans="1:2">
      <c r="A46" s="65" t="s">
        <v>12479</v>
      </c>
      <c r="B46" s="65" t="s">
        <v>1089</v>
      </c>
    </row>
    <row r="47" spans="1:2">
      <c r="A47" s="65" t="s">
        <v>12481</v>
      </c>
      <c r="B47" s="65" t="s">
        <v>1090</v>
      </c>
    </row>
    <row r="48" spans="1:2">
      <c r="A48" s="65" t="s">
        <v>12487</v>
      </c>
      <c r="B48" s="65" t="s">
        <v>12968</v>
      </c>
    </row>
    <row r="49" spans="1:2">
      <c r="A49" s="65" t="s">
        <v>12472</v>
      </c>
      <c r="B49" s="65" t="s">
        <v>12956</v>
      </c>
    </row>
    <row r="50" spans="1:2">
      <c r="A50" s="65" t="s">
        <v>12482</v>
      </c>
      <c r="B50" s="65" t="s">
        <v>12963</v>
      </c>
    </row>
    <row r="51" spans="1:2">
      <c r="A51" s="65" t="s">
        <v>12552</v>
      </c>
      <c r="B51" s="65" t="s">
        <v>13022</v>
      </c>
    </row>
    <row r="52" spans="1:2">
      <c r="A52" s="65" t="s">
        <v>12475</v>
      </c>
      <c r="B52" s="65" t="s">
        <v>12959</v>
      </c>
    </row>
    <row r="53" spans="1:2">
      <c r="A53" s="65" t="s">
        <v>12473</v>
      </c>
      <c r="B53" s="65" t="s">
        <v>12957</v>
      </c>
    </row>
    <row r="54" spans="1:2">
      <c r="A54" s="65" t="s">
        <v>12478</v>
      </c>
      <c r="B54" s="65" t="s">
        <v>12961</v>
      </c>
    </row>
    <row r="55" spans="1:2">
      <c r="A55" s="65" t="s">
        <v>12483</v>
      </c>
      <c r="B55" s="65" t="s">
        <v>12964</v>
      </c>
    </row>
    <row r="56" spans="1:2">
      <c r="A56" s="65" t="s">
        <v>12477</v>
      </c>
      <c r="B56" s="65" t="s">
        <v>12960</v>
      </c>
    </row>
    <row r="57" spans="1:2">
      <c r="A57" s="65" t="s">
        <v>12531</v>
      </c>
      <c r="B57" s="65" t="s">
        <v>13006</v>
      </c>
    </row>
    <row r="58" spans="1:2">
      <c r="A58" s="65" t="s">
        <v>12484</v>
      </c>
      <c r="B58" s="65" t="s">
        <v>12965</v>
      </c>
    </row>
    <row r="59" spans="1:2">
      <c r="A59" s="65" t="s">
        <v>12486</v>
      </c>
      <c r="B59" s="65" t="s">
        <v>12967</v>
      </c>
    </row>
    <row r="60" spans="1:2">
      <c r="A60" s="65" t="s">
        <v>12488</v>
      </c>
      <c r="B60" s="65" t="s">
        <v>12969</v>
      </c>
    </row>
    <row r="61" spans="1:2">
      <c r="A61" s="65" t="s">
        <v>12489</v>
      </c>
      <c r="B61" s="65" t="s">
        <v>13474</v>
      </c>
    </row>
    <row r="62" spans="1:2">
      <c r="A62" s="65" t="s">
        <v>12492</v>
      </c>
      <c r="B62" s="65" t="s">
        <v>12971</v>
      </c>
    </row>
    <row r="63" spans="1:2">
      <c r="A63" s="65" t="s">
        <v>12491</v>
      </c>
      <c r="B63" s="65" t="s">
        <v>12970</v>
      </c>
    </row>
    <row r="64" spans="1:2">
      <c r="A64" s="65" t="s">
        <v>12493</v>
      </c>
      <c r="B64" s="65" t="s">
        <v>12972</v>
      </c>
    </row>
    <row r="65" spans="1:2">
      <c r="A65" s="65" t="s">
        <v>12494</v>
      </c>
      <c r="B65" s="65" t="s">
        <v>12973</v>
      </c>
    </row>
    <row r="66" spans="1:2">
      <c r="A66" s="65" t="s">
        <v>12496</v>
      </c>
      <c r="B66" s="65" t="s">
        <v>12975</v>
      </c>
    </row>
    <row r="67" spans="1:2">
      <c r="A67" s="65" t="s">
        <v>12498</v>
      </c>
      <c r="B67" s="65" t="s">
        <v>12976</v>
      </c>
    </row>
    <row r="68" spans="1:2">
      <c r="A68" s="65" t="s">
        <v>12642</v>
      </c>
      <c r="B68" s="65" t="s">
        <v>13096</v>
      </c>
    </row>
    <row r="69" spans="1:2">
      <c r="A69" s="65" t="s">
        <v>12521</v>
      </c>
      <c r="B69" s="65" t="s">
        <v>12996</v>
      </c>
    </row>
    <row r="70" spans="1:2">
      <c r="A70" s="65" t="s">
        <v>12500</v>
      </c>
      <c r="B70" s="65" t="s">
        <v>12978</v>
      </c>
    </row>
    <row r="71" spans="1:2">
      <c r="A71" s="65" t="s">
        <v>12497</v>
      </c>
      <c r="B71" s="65" t="s">
        <v>1093</v>
      </c>
    </row>
    <row r="72" spans="1:2">
      <c r="A72" s="65" t="s">
        <v>12645</v>
      </c>
      <c r="B72" s="65" t="s">
        <v>13475</v>
      </c>
    </row>
    <row r="73" spans="1:2">
      <c r="A73" s="65" t="s">
        <v>12502</v>
      </c>
      <c r="B73" s="65" t="s">
        <v>12979</v>
      </c>
    </row>
    <row r="74" spans="1:2">
      <c r="A74" s="65" t="s">
        <v>12505</v>
      </c>
      <c r="B74" s="65" t="s">
        <v>12982</v>
      </c>
    </row>
    <row r="75" spans="1:2">
      <c r="A75" s="65" t="s">
        <v>12507</v>
      </c>
      <c r="B75" s="65" t="s">
        <v>12984</v>
      </c>
    </row>
    <row r="76" spans="1:2">
      <c r="A76" s="65" t="s">
        <v>12504</v>
      </c>
      <c r="B76" s="65" t="s">
        <v>12981</v>
      </c>
    </row>
    <row r="77" spans="1:2">
      <c r="A77" s="65" t="s">
        <v>12503</v>
      </c>
      <c r="B77" s="65" t="s">
        <v>12980</v>
      </c>
    </row>
    <row r="78" spans="1:2">
      <c r="A78" s="65" t="s">
        <v>12508</v>
      </c>
      <c r="B78" s="65" t="s">
        <v>1094</v>
      </c>
    </row>
    <row r="79" spans="1:2">
      <c r="A79" s="65" t="s">
        <v>12513</v>
      </c>
      <c r="B79" s="65" t="s">
        <v>12988</v>
      </c>
    </row>
    <row r="80" spans="1:2">
      <c r="A80" s="65" t="s">
        <v>12607</v>
      </c>
      <c r="B80" s="65" t="s">
        <v>13068</v>
      </c>
    </row>
    <row r="81" spans="1:2">
      <c r="A81" s="65" t="s">
        <v>12648</v>
      </c>
      <c r="B81" s="65" t="s">
        <v>13101</v>
      </c>
    </row>
    <row r="82" spans="1:2">
      <c r="A82" s="65" t="s">
        <v>12509</v>
      </c>
      <c r="B82" s="65" t="s">
        <v>12985</v>
      </c>
    </row>
    <row r="83" spans="1:2">
      <c r="A83" s="65" t="s">
        <v>12518</v>
      </c>
      <c r="B83" s="65" t="s">
        <v>12993</v>
      </c>
    </row>
    <row r="84" spans="1:2">
      <c r="A84" s="65" t="s">
        <v>12512</v>
      </c>
      <c r="B84" s="65" t="s">
        <v>12987</v>
      </c>
    </row>
    <row r="85" spans="1:2">
      <c r="A85" s="65" t="s">
        <v>12490</v>
      </c>
      <c r="B85" s="65" t="s">
        <v>1091</v>
      </c>
    </row>
    <row r="86" spans="1:2">
      <c r="A86" s="65" t="s">
        <v>12515</v>
      </c>
      <c r="B86" s="65" t="s">
        <v>12990</v>
      </c>
    </row>
    <row r="87" spans="1:2">
      <c r="A87" s="65" t="s">
        <v>12516</v>
      </c>
      <c r="B87" s="65" t="s">
        <v>12991</v>
      </c>
    </row>
    <row r="88" spans="1:2">
      <c r="A88" s="65" t="s">
        <v>12522</v>
      </c>
      <c r="B88" s="65" t="s">
        <v>12997</v>
      </c>
    </row>
    <row r="89" spans="1:2">
      <c r="A89" s="65" t="s">
        <v>12517</v>
      </c>
      <c r="B89" s="65" t="s">
        <v>12992</v>
      </c>
    </row>
    <row r="90" spans="1:2">
      <c r="A90" s="65" t="s">
        <v>12511</v>
      </c>
      <c r="B90" s="65" t="s">
        <v>12986</v>
      </c>
    </row>
    <row r="91" spans="1:2">
      <c r="A91" s="65" t="s">
        <v>12520</v>
      </c>
      <c r="B91" s="65" t="s">
        <v>12995</v>
      </c>
    </row>
    <row r="92" spans="1:2">
      <c r="A92" s="65" t="s">
        <v>12525</v>
      </c>
      <c r="B92" s="65" t="s">
        <v>13000</v>
      </c>
    </row>
    <row r="93" spans="1:2">
      <c r="A93" s="65" t="s">
        <v>12524</v>
      </c>
      <c r="B93" s="65" t="s">
        <v>12999</v>
      </c>
    </row>
    <row r="94" spans="1:2">
      <c r="A94" s="65" t="s">
        <v>12514</v>
      </c>
      <c r="B94" s="65" t="s">
        <v>12989</v>
      </c>
    </row>
    <row r="95" spans="1:2">
      <c r="A95" s="65" t="s">
        <v>12519</v>
      </c>
      <c r="B95" s="65" t="s">
        <v>12994</v>
      </c>
    </row>
    <row r="96" spans="1:2">
      <c r="A96" s="65" t="s">
        <v>12526</v>
      </c>
      <c r="B96" s="65" t="s">
        <v>13001</v>
      </c>
    </row>
    <row r="97" spans="1:2">
      <c r="A97" s="65" t="s">
        <v>12527</v>
      </c>
      <c r="B97" s="65" t="s">
        <v>13002</v>
      </c>
    </row>
    <row r="98" spans="1:2">
      <c r="A98" s="65" t="s">
        <v>12532</v>
      </c>
      <c r="B98" s="65" t="s">
        <v>13007</v>
      </c>
    </row>
    <row r="99" spans="1:2">
      <c r="A99" s="65" t="s">
        <v>12529</v>
      </c>
      <c r="B99" s="65" t="s">
        <v>13004</v>
      </c>
    </row>
    <row r="100" spans="1:2">
      <c r="A100" s="65" t="s">
        <v>12668</v>
      </c>
      <c r="B100" s="65" t="s">
        <v>13115</v>
      </c>
    </row>
    <row r="101" spans="1:2">
      <c r="A101" s="65" t="s">
        <v>12530</v>
      </c>
      <c r="B101" s="65" t="s">
        <v>13005</v>
      </c>
    </row>
    <row r="102" spans="1:2">
      <c r="A102" s="65" t="s">
        <v>12528</v>
      </c>
      <c r="B102" s="65" t="s">
        <v>13003</v>
      </c>
    </row>
    <row r="103" spans="1:2">
      <c r="A103" s="65" t="s">
        <v>12533</v>
      </c>
      <c r="B103" s="65" t="s">
        <v>13008</v>
      </c>
    </row>
    <row r="104" spans="1:2">
      <c r="A104" s="65" t="s">
        <v>12542</v>
      </c>
      <c r="B104" s="65" t="s">
        <v>13015</v>
      </c>
    </row>
    <row r="105" spans="1:2">
      <c r="A105" s="65" t="s">
        <v>12538</v>
      </c>
      <c r="B105" s="65" t="s">
        <v>1096</v>
      </c>
    </row>
    <row r="106" spans="1:2">
      <c r="A106" s="65" t="s">
        <v>12534</v>
      </c>
      <c r="B106" s="65" t="s">
        <v>1095</v>
      </c>
    </row>
    <row r="107" spans="1:2">
      <c r="A107" s="65" t="s">
        <v>12541</v>
      </c>
      <c r="B107" s="65" t="s">
        <v>13014</v>
      </c>
    </row>
    <row r="108" spans="1:2">
      <c r="A108" s="65" t="s">
        <v>12540</v>
      </c>
      <c r="B108" s="65" t="s">
        <v>13013</v>
      </c>
    </row>
    <row r="109" spans="1:2">
      <c r="A109" s="65" t="s">
        <v>12535</v>
      </c>
      <c r="B109" s="65" t="s">
        <v>13009</v>
      </c>
    </row>
    <row r="110" spans="1:2">
      <c r="A110" s="65" t="s">
        <v>12537</v>
      </c>
      <c r="B110" s="65" t="s">
        <v>13011</v>
      </c>
    </row>
    <row r="111" spans="1:2">
      <c r="A111" s="65" t="s">
        <v>12536</v>
      </c>
      <c r="B111" s="65" t="s">
        <v>13010</v>
      </c>
    </row>
    <row r="112" spans="1:2">
      <c r="A112" s="65" t="s">
        <v>12543</v>
      </c>
      <c r="B112" s="65" t="s">
        <v>1097</v>
      </c>
    </row>
    <row r="113" spans="1:2">
      <c r="A113" s="65" t="s">
        <v>12545</v>
      </c>
      <c r="B113" s="65" t="s">
        <v>13017</v>
      </c>
    </row>
    <row r="114" spans="1:2">
      <c r="A114" s="65" t="s">
        <v>12547</v>
      </c>
      <c r="B114" s="65" t="s">
        <v>1098</v>
      </c>
    </row>
    <row r="115" spans="1:2">
      <c r="A115" s="65" t="s">
        <v>12544</v>
      </c>
      <c r="B115" s="65" t="s">
        <v>13016</v>
      </c>
    </row>
    <row r="116" spans="1:2">
      <c r="A116" s="65" t="s">
        <v>12546</v>
      </c>
      <c r="B116" s="65" t="s">
        <v>13018</v>
      </c>
    </row>
    <row r="117" spans="1:2">
      <c r="A117" s="65" t="s">
        <v>12558</v>
      </c>
      <c r="B117" s="65" t="s">
        <v>1099</v>
      </c>
    </row>
    <row r="118" spans="1:2">
      <c r="A118" s="65" t="s">
        <v>12548</v>
      </c>
      <c r="B118" s="65" t="s">
        <v>13019</v>
      </c>
    </row>
    <row r="119" spans="1:2">
      <c r="A119" s="65" t="s">
        <v>12551</v>
      </c>
      <c r="B119" s="65" t="s">
        <v>13021</v>
      </c>
    </row>
    <row r="120" spans="1:2">
      <c r="A120" s="65" t="s">
        <v>12554</v>
      </c>
      <c r="B120" s="65" t="s">
        <v>13024</v>
      </c>
    </row>
    <row r="121" spans="1:2">
      <c r="A121" s="65" t="s">
        <v>12555</v>
      </c>
      <c r="B121" s="65" t="s">
        <v>1101</v>
      </c>
    </row>
    <row r="122" spans="1:2">
      <c r="A122" s="65" t="s">
        <v>12556</v>
      </c>
      <c r="B122" s="65" t="s">
        <v>13025</v>
      </c>
    </row>
    <row r="123" spans="1:2">
      <c r="A123" s="65" t="s">
        <v>12549</v>
      </c>
      <c r="B123" s="65" t="s">
        <v>1100</v>
      </c>
    </row>
    <row r="124" spans="1:2">
      <c r="A124" s="65" t="s">
        <v>12559</v>
      </c>
      <c r="B124" s="65" t="s">
        <v>13027</v>
      </c>
    </row>
    <row r="125" spans="1:2">
      <c r="A125" s="65" t="s">
        <v>12568</v>
      </c>
      <c r="B125" s="65" t="s">
        <v>13035</v>
      </c>
    </row>
    <row r="126" spans="1:2">
      <c r="A126" s="65" t="s">
        <v>12560</v>
      </c>
      <c r="B126" s="65" t="s">
        <v>13028</v>
      </c>
    </row>
    <row r="127" spans="1:2">
      <c r="A127" s="65" t="s">
        <v>12565</v>
      </c>
      <c r="B127" s="65" t="s">
        <v>13033</v>
      </c>
    </row>
    <row r="128" spans="1:2">
      <c r="A128" s="65" t="s">
        <v>12564</v>
      </c>
      <c r="B128" s="65" t="s">
        <v>13032</v>
      </c>
    </row>
    <row r="129" spans="1:2">
      <c r="A129" s="65" t="s">
        <v>12569</v>
      </c>
      <c r="B129" s="65" t="s">
        <v>13036</v>
      </c>
    </row>
    <row r="130" spans="1:2">
      <c r="A130" s="65" t="s">
        <v>12562</v>
      </c>
      <c r="B130" s="65" t="s">
        <v>13030</v>
      </c>
    </row>
    <row r="131" spans="1:2">
      <c r="A131" s="65" t="s">
        <v>12566</v>
      </c>
      <c r="B131" s="65" t="s">
        <v>1102</v>
      </c>
    </row>
    <row r="132" spans="1:2">
      <c r="A132" s="65" t="s">
        <v>12567</v>
      </c>
      <c r="B132" s="65" t="s">
        <v>13034</v>
      </c>
    </row>
    <row r="133" spans="1:2">
      <c r="A133" s="65" t="s">
        <v>12581</v>
      </c>
      <c r="B133" s="65" t="s">
        <v>13046</v>
      </c>
    </row>
    <row r="134" spans="1:2">
      <c r="A134" s="65" t="s">
        <v>12577</v>
      </c>
      <c r="B134" s="65" t="s">
        <v>14019</v>
      </c>
    </row>
    <row r="135" spans="1:2">
      <c r="A135" s="65" t="s">
        <v>12575</v>
      </c>
      <c r="B135" s="65" t="s">
        <v>13042</v>
      </c>
    </row>
    <row r="136" spans="1:2">
      <c r="A136" s="65" t="s">
        <v>12589</v>
      </c>
      <c r="B136" s="65" t="s">
        <v>13054</v>
      </c>
    </row>
    <row r="137" spans="1:2">
      <c r="A137" s="65" t="s">
        <v>12591</v>
      </c>
      <c r="B137" s="65" t="s">
        <v>1105</v>
      </c>
    </row>
    <row r="138" spans="1:2">
      <c r="A138" s="65" t="s">
        <v>12588</v>
      </c>
      <c r="B138" s="65" t="s">
        <v>13053</v>
      </c>
    </row>
    <row r="139" spans="1:2">
      <c r="A139" s="65" t="s">
        <v>12578</v>
      </c>
      <c r="B139" s="65" t="s">
        <v>13044</v>
      </c>
    </row>
    <row r="140" spans="1:2">
      <c r="A140" s="65" t="s">
        <v>12586</v>
      </c>
      <c r="B140" s="65" t="s">
        <v>13051</v>
      </c>
    </row>
    <row r="141" spans="1:2">
      <c r="A141" s="65" t="s">
        <v>12576</v>
      </c>
      <c r="B141" s="65" t="s">
        <v>13043</v>
      </c>
    </row>
    <row r="142" spans="1:2">
      <c r="A142" s="65" t="s">
        <v>12583</v>
      </c>
      <c r="B142" s="65" t="s">
        <v>13048</v>
      </c>
    </row>
    <row r="143" spans="1:2">
      <c r="A143" s="65" t="s">
        <v>12584</v>
      </c>
      <c r="B143" s="65" t="s">
        <v>13049</v>
      </c>
    </row>
    <row r="144" spans="1:2">
      <c r="A144" s="65" t="s">
        <v>12587</v>
      </c>
      <c r="B144" s="65" t="s">
        <v>13052</v>
      </c>
    </row>
    <row r="145" spans="1:2">
      <c r="A145" s="65" t="s">
        <v>12678</v>
      </c>
      <c r="B145" s="65" t="s">
        <v>13124</v>
      </c>
    </row>
    <row r="146" spans="1:2">
      <c r="A146" s="65" t="s">
        <v>12590</v>
      </c>
      <c r="B146" s="65" t="s">
        <v>1103</v>
      </c>
    </row>
    <row r="147" spans="1:2">
      <c r="A147" s="65" t="s">
        <v>12506</v>
      </c>
      <c r="B147" s="65" t="s">
        <v>12983</v>
      </c>
    </row>
    <row r="148" spans="1:2">
      <c r="A148" s="65" t="s">
        <v>12572</v>
      </c>
      <c r="B148" s="65" t="s">
        <v>13039</v>
      </c>
    </row>
    <row r="149" spans="1:2">
      <c r="A149" s="65" t="s">
        <v>12571</v>
      </c>
      <c r="B149" s="65" t="s">
        <v>13038</v>
      </c>
    </row>
    <row r="150" spans="1:2">
      <c r="A150" s="65" t="s">
        <v>12580</v>
      </c>
      <c r="B150" s="65" t="s">
        <v>13045</v>
      </c>
    </row>
    <row r="151" spans="1:2">
      <c r="A151" s="65" t="s">
        <v>12573</v>
      </c>
      <c r="B151" s="65" t="s">
        <v>13040</v>
      </c>
    </row>
    <row r="152" spans="1:2">
      <c r="A152" s="65" t="s">
        <v>12585</v>
      </c>
      <c r="B152" s="65" t="s">
        <v>13050</v>
      </c>
    </row>
    <row r="153" spans="1:2">
      <c r="A153" s="65" t="s">
        <v>12570</v>
      </c>
      <c r="B153" s="65" t="s">
        <v>13037</v>
      </c>
    </row>
    <row r="154" spans="1:2">
      <c r="A154" s="65" t="s">
        <v>12592</v>
      </c>
      <c r="B154" s="65" t="s">
        <v>13055</v>
      </c>
    </row>
    <row r="155" spans="1:2">
      <c r="A155" s="65" t="s">
        <v>12579</v>
      </c>
      <c r="B155" s="65" t="s">
        <v>1104</v>
      </c>
    </row>
    <row r="156" spans="1:2">
      <c r="A156" s="65" t="s">
        <v>12593</v>
      </c>
      <c r="B156" s="65" t="s">
        <v>13056</v>
      </c>
    </row>
    <row r="157" spans="1:2">
      <c r="A157" s="65" t="s">
        <v>12601</v>
      </c>
      <c r="B157" s="65" t="s">
        <v>13064</v>
      </c>
    </row>
    <row r="158" spans="1:2">
      <c r="A158" s="65" t="s">
        <v>12600</v>
      </c>
      <c r="B158" s="65" t="s">
        <v>13063</v>
      </c>
    </row>
    <row r="159" spans="1:2">
      <c r="A159" s="65" t="s">
        <v>12599</v>
      </c>
      <c r="B159" s="65" t="s">
        <v>1106</v>
      </c>
    </row>
    <row r="160" spans="1:2">
      <c r="A160" s="65" t="s">
        <v>12594</v>
      </c>
      <c r="B160" s="65" t="s">
        <v>13057</v>
      </c>
    </row>
    <row r="161" spans="1:2">
      <c r="A161" s="65" t="s">
        <v>12603</v>
      </c>
      <c r="B161" s="65" t="s">
        <v>1107</v>
      </c>
    </row>
    <row r="162" spans="1:2">
      <c r="A162" s="65" t="s">
        <v>12598</v>
      </c>
      <c r="B162" s="65" t="s">
        <v>13061</v>
      </c>
    </row>
    <row r="163" spans="1:2">
      <c r="A163" s="65" t="s">
        <v>12595</v>
      </c>
      <c r="B163" s="65" t="s">
        <v>13058</v>
      </c>
    </row>
    <row r="164" spans="1:2">
      <c r="A164" s="65" t="s">
        <v>12597</v>
      </c>
      <c r="B164" s="65" t="s">
        <v>13060</v>
      </c>
    </row>
    <row r="165" spans="1:2">
      <c r="A165" s="65" t="s">
        <v>12602</v>
      </c>
      <c r="B165" s="65" t="s">
        <v>13065</v>
      </c>
    </row>
    <row r="166" spans="1:2">
      <c r="A166" s="65" t="s">
        <v>12596</v>
      </c>
      <c r="B166" s="65" t="s">
        <v>13059</v>
      </c>
    </row>
    <row r="167" spans="1:2">
      <c r="A167" s="65" t="s">
        <v>12582</v>
      </c>
      <c r="B167" s="65" t="s">
        <v>13047</v>
      </c>
    </row>
    <row r="168" spans="1:2">
      <c r="A168" s="65" t="s">
        <v>12438</v>
      </c>
      <c r="B168" s="65" t="s">
        <v>13062</v>
      </c>
    </row>
    <row r="169" spans="1:2">
      <c r="A169" s="65" t="s">
        <v>12604</v>
      </c>
      <c r="B169" s="65" t="s">
        <v>13066</v>
      </c>
    </row>
    <row r="170" spans="1:2">
      <c r="A170" s="65" t="s">
        <v>12610</v>
      </c>
      <c r="B170" s="65" t="s">
        <v>13070</v>
      </c>
    </row>
    <row r="171" spans="1:2">
      <c r="A171" s="65" t="s">
        <v>12617</v>
      </c>
      <c r="B171" s="65" t="s">
        <v>13076</v>
      </c>
    </row>
    <row r="172" spans="1:2">
      <c r="A172" s="65" t="s">
        <v>12615</v>
      </c>
      <c r="B172" s="65" t="s">
        <v>13074</v>
      </c>
    </row>
    <row r="173" spans="1:2">
      <c r="A173" s="65" t="s">
        <v>12605</v>
      </c>
      <c r="B173" s="65" t="s">
        <v>13067</v>
      </c>
    </row>
    <row r="174" spans="1:2">
      <c r="A174" s="65" t="s">
        <v>12608</v>
      </c>
      <c r="B174" s="65" t="s">
        <v>13069</v>
      </c>
    </row>
    <row r="175" spans="1:2">
      <c r="A175" s="65" t="s">
        <v>12618</v>
      </c>
      <c r="B175" s="65" t="s">
        <v>13077</v>
      </c>
    </row>
    <row r="176" spans="1:2">
      <c r="A176" s="65" t="s">
        <v>12606</v>
      </c>
      <c r="B176" s="65" t="s">
        <v>870</v>
      </c>
    </row>
    <row r="177" spans="1:2">
      <c r="A177" s="65" t="s">
        <v>12609</v>
      </c>
      <c r="B177" s="65" t="s">
        <v>871</v>
      </c>
    </row>
    <row r="178" spans="1:2">
      <c r="A178" s="65" t="s">
        <v>12613</v>
      </c>
      <c r="B178" s="65" t="s">
        <v>13072</v>
      </c>
    </row>
    <row r="179" spans="1:2">
      <c r="A179" s="65" t="s">
        <v>12611</v>
      </c>
      <c r="B179" s="65" t="s">
        <v>872</v>
      </c>
    </row>
    <row r="180" spans="1:2">
      <c r="A180" s="65" t="s">
        <v>12616</v>
      </c>
      <c r="B180" s="65" t="s">
        <v>13075</v>
      </c>
    </row>
    <row r="181" spans="1:2">
      <c r="A181" s="65" t="s">
        <v>12614</v>
      </c>
      <c r="B181" s="65" t="s">
        <v>13073</v>
      </c>
    </row>
    <row r="182" spans="1:2">
      <c r="A182" s="65" t="s">
        <v>12619</v>
      </c>
      <c r="B182" s="65" t="s">
        <v>13078</v>
      </c>
    </row>
    <row r="183" spans="1:2">
      <c r="A183" s="65" t="s">
        <v>12620</v>
      </c>
      <c r="B183" s="65" t="s">
        <v>13079</v>
      </c>
    </row>
    <row r="184" spans="1:2">
      <c r="A184" s="65" t="s">
        <v>12621</v>
      </c>
      <c r="B184" s="65" t="s">
        <v>13080</v>
      </c>
    </row>
    <row r="185" spans="1:2">
      <c r="A185" s="65" t="s">
        <v>12623</v>
      </c>
      <c r="B185" s="65" t="s">
        <v>873</v>
      </c>
    </row>
    <row r="186" spans="1:2">
      <c r="A186" s="65" t="s">
        <v>12624</v>
      </c>
      <c r="B186" s="65" t="s">
        <v>13082</v>
      </c>
    </row>
    <row r="187" spans="1:2">
      <c r="A187" s="65" t="s">
        <v>12459</v>
      </c>
      <c r="B187" s="65" t="s">
        <v>12946</v>
      </c>
    </row>
    <row r="188" spans="1:2">
      <c r="A188" s="65" t="s">
        <v>12631</v>
      </c>
      <c r="B188" s="65" t="s">
        <v>13085</v>
      </c>
    </row>
    <row r="189" spans="1:2">
      <c r="A189" s="65" t="s">
        <v>12553</v>
      </c>
      <c r="B189" s="65" t="s">
        <v>13023</v>
      </c>
    </row>
    <row r="190" spans="1:2">
      <c r="A190" s="65" t="s">
        <v>12561</v>
      </c>
      <c r="B190" s="65" t="s">
        <v>13029</v>
      </c>
    </row>
    <row r="191" spans="1:2">
      <c r="A191" s="65" t="s">
        <v>12574</v>
      </c>
      <c r="B191" s="65" t="s">
        <v>13041</v>
      </c>
    </row>
    <row r="192" spans="1:2">
      <c r="A192" s="65" t="s">
        <v>12612</v>
      </c>
      <c r="B192" s="65" t="s">
        <v>13071</v>
      </c>
    </row>
    <row r="193" spans="1:2">
      <c r="A193" s="65" t="s">
        <v>12669</v>
      </c>
      <c r="B193" s="65" t="s">
        <v>13116</v>
      </c>
    </row>
    <row r="194" spans="1:2">
      <c r="A194" s="65" t="s">
        <v>12676</v>
      </c>
      <c r="B194" s="65" t="s">
        <v>13122</v>
      </c>
    </row>
    <row r="195" spans="1:2">
      <c r="A195" s="65" t="s">
        <v>12636</v>
      </c>
      <c r="B195" s="65" t="s">
        <v>13090</v>
      </c>
    </row>
    <row r="196" spans="1:2">
      <c r="A196" s="65" t="s">
        <v>12641</v>
      </c>
      <c r="B196" s="65" t="s">
        <v>13095</v>
      </c>
    </row>
    <row r="197" spans="1:2">
      <c r="A197" s="65" t="s">
        <v>12625</v>
      </c>
      <c r="B197" s="65" t="s">
        <v>874</v>
      </c>
    </row>
    <row r="198" spans="1:2">
      <c r="A198" s="65" t="s">
        <v>12637</v>
      </c>
      <c r="B198" s="65" t="s">
        <v>13091</v>
      </c>
    </row>
    <row r="199" spans="1:2">
      <c r="A199" s="65" t="s">
        <v>12622</v>
      </c>
      <c r="B199" s="65" t="s">
        <v>13081</v>
      </c>
    </row>
    <row r="200" spans="1:2">
      <c r="A200" s="65" t="s">
        <v>12627</v>
      </c>
      <c r="B200" s="65" t="s">
        <v>13084</v>
      </c>
    </row>
    <row r="201" spans="1:2">
      <c r="A201" s="65" t="s">
        <v>12635</v>
      </c>
      <c r="B201" s="65" t="s">
        <v>13089</v>
      </c>
    </row>
    <row r="202" spans="1:2">
      <c r="A202" s="65" t="s">
        <v>12630</v>
      </c>
      <c r="B202" s="65" t="s">
        <v>876</v>
      </c>
    </row>
    <row r="203" spans="1:2">
      <c r="A203" s="65" t="s">
        <v>12643</v>
      </c>
      <c r="B203" s="65" t="s">
        <v>13097</v>
      </c>
    </row>
    <row r="204" spans="1:2">
      <c r="A204" s="65" t="s">
        <v>12634</v>
      </c>
      <c r="B204" s="65" t="s">
        <v>13088</v>
      </c>
    </row>
    <row r="205" spans="1:2">
      <c r="A205" s="65" t="s">
        <v>12632</v>
      </c>
      <c r="B205" s="65" t="s">
        <v>13086</v>
      </c>
    </row>
    <row r="206" spans="1:2">
      <c r="A206" s="65" t="s">
        <v>12626</v>
      </c>
      <c r="B206" s="65" t="s">
        <v>13083</v>
      </c>
    </row>
    <row r="207" spans="1:2">
      <c r="A207" s="65" t="s">
        <v>12638</v>
      </c>
      <c r="B207" s="65" t="s">
        <v>13092</v>
      </c>
    </row>
    <row r="208" spans="1:2">
      <c r="A208" s="65" t="s">
        <v>12679</v>
      </c>
      <c r="B208" s="65" t="s">
        <v>883</v>
      </c>
    </row>
    <row r="209" spans="1:2">
      <c r="A209" s="65" t="s">
        <v>12523</v>
      </c>
      <c r="B209" s="65" t="s">
        <v>12998</v>
      </c>
    </row>
    <row r="210" spans="1:2">
      <c r="A210" s="65" t="s">
        <v>12640</v>
      </c>
      <c r="B210" s="65" t="s">
        <v>13094</v>
      </c>
    </row>
    <row r="211" spans="1:2">
      <c r="A211" s="65" t="s">
        <v>12501</v>
      </c>
      <c r="B211" s="65" t="s">
        <v>1092</v>
      </c>
    </row>
    <row r="212" spans="1:2">
      <c r="A212" s="65" t="s">
        <v>12563</v>
      </c>
      <c r="B212" s="65" t="s">
        <v>13031</v>
      </c>
    </row>
    <row r="213" spans="1:2">
      <c r="A213" s="65" t="s">
        <v>12628</v>
      </c>
      <c r="B213" s="65" t="s">
        <v>875</v>
      </c>
    </row>
    <row r="214" spans="1:2">
      <c r="A214" s="65" t="s">
        <v>12639</v>
      </c>
      <c r="B214" s="65" t="s">
        <v>13093</v>
      </c>
    </row>
    <row r="215" spans="1:2">
      <c r="A215" s="65" t="s">
        <v>12633</v>
      </c>
      <c r="B215" s="65" t="s">
        <v>13087</v>
      </c>
    </row>
    <row r="216" spans="1:2">
      <c r="A216" s="65" t="s">
        <v>12629</v>
      </c>
      <c r="B216" s="65" t="s">
        <v>877</v>
      </c>
    </row>
    <row r="217" spans="1:2">
      <c r="A217" s="65" t="s">
        <v>12476</v>
      </c>
      <c r="B217" s="65" t="s">
        <v>1088</v>
      </c>
    </row>
    <row r="218" spans="1:2">
      <c r="A218" s="65" t="s">
        <v>12644</v>
      </c>
      <c r="B218" s="65" t="s">
        <v>13098</v>
      </c>
    </row>
    <row r="219" spans="1:2">
      <c r="A219" s="65" t="s">
        <v>12660</v>
      </c>
      <c r="B219" s="65" t="s">
        <v>2414</v>
      </c>
    </row>
    <row r="220" spans="1:2">
      <c r="A220" s="65" t="s">
        <v>12651</v>
      </c>
      <c r="B220" s="65" t="s">
        <v>13103</v>
      </c>
    </row>
    <row r="221" spans="1:2">
      <c r="A221" s="65" t="s">
        <v>12661</v>
      </c>
      <c r="B221" s="65" t="s">
        <v>13111</v>
      </c>
    </row>
    <row r="222" spans="1:2">
      <c r="A222" s="65" t="s">
        <v>12650</v>
      </c>
      <c r="B222" s="65" t="s">
        <v>878</v>
      </c>
    </row>
    <row r="223" spans="1:2">
      <c r="A223" s="65" t="s">
        <v>12653</v>
      </c>
      <c r="B223" s="65" t="s">
        <v>13105</v>
      </c>
    </row>
    <row r="224" spans="1:2">
      <c r="A224" s="65" t="s">
        <v>12649</v>
      </c>
      <c r="B224" s="65" t="s">
        <v>13102</v>
      </c>
    </row>
    <row r="225" spans="1:2">
      <c r="A225" s="65" t="s">
        <v>12652</v>
      </c>
      <c r="B225" s="65" t="s">
        <v>13104</v>
      </c>
    </row>
    <row r="226" spans="1:2">
      <c r="A226" s="65" t="s">
        <v>12656</v>
      </c>
      <c r="B226" s="65" t="s">
        <v>13108</v>
      </c>
    </row>
    <row r="227" spans="1:2">
      <c r="A227" s="65" t="s">
        <v>12658</v>
      </c>
      <c r="B227" s="65" t="s">
        <v>13109</v>
      </c>
    </row>
    <row r="228" spans="1:2">
      <c r="A228" s="65" t="s">
        <v>12655</v>
      </c>
      <c r="B228" s="65" t="s">
        <v>13107</v>
      </c>
    </row>
    <row r="229" spans="1:2">
      <c r="A229" s="65" t="s">
        <v>12657</v>
      </c>
      <c r="B229" s="65" t="s">
        <v>879</v>
      </c>
    </row>
    <row r="230" spans="1:2">
      <c r="A230" s="65" t="s">
        <v>12654</v>
      </c>
      <c r="B230" s="65" t="s">
        <v>13106</v>
      </c>
    </row>
    <row r="231" spans="1:2">
      <c r="A231" s="65" t="s">
        <v>12646</v>
      </c>
      <c r="B231" s="65" t="s">
        <v>13099</v>
      </c>
    </row>
    <row r="232" spans="1:2">
      <c r="A232" s="65" t="s">
        <v>12659</v>
      </c>
      <c r="B232" s="65" t="s">
        <v>13110</v>
      </c>
    </row>
    <row r="233" spans="1:2">
      <c r="A233" s="65" t="s">
        <v>12663</v>
      </c>
      <c r="B233" s="65" t="s">
        <v>880</v>
      </c>
    </row>
    <row r="234" spans="1:2">
      <c r="A234" s="65" t="s">
        <v>12662</v>
      </c>
      <c r="B234" s="65" t="s">
        <v>13112</v>
      </c>
    </row>
    <row r="235" spans="1:2">
      <c r="A235" s="65" t="s">
        <v>12434</v>
      </c>
      <c r="B235" s="65" t="s">
        <v>1082</v>
      </c>
    </row>
    <row r="236" spans="1:2">
      <c r="A236" s="65" t="s">
        <v>12510</v>
      </c>
      <c r="B236" s="65" t="s">
        <v>14986</v>
      </c>
    </row>
    <row r="237" spans="1:2">
      <c r="A237" s="65" t="s">
        <v>12664</v>
      </c>
      <c r="B237" s="65" t="s">
        <v>13113</v>
      </c>
    </row>
    <row r="238" spans="1:2">
      <c r="A238" s="65" t="s">
        <v>12665</v>
      </c>
      <c r="B238" s="65" t="s">
        <v>2415</v>
      </c>
    </row>
    <row r="239" spans="1:2">
      <c r="A239" s="65" t="s">
        <v>12666</v>
      </c>
      <c r="B239" s="65" t="s">
        <v>13114</v>
      </c>
    </row>
    <row r="240" spans="1:2">
      <c r="A240" s="65" t="s">
        <v>12667</v>
      </c>
      <c r="B240" s="65" t="s">
        <v>881</v>
      </c>
    </row>
    <row r="241" spans="1:2">
      <c r="A241" s="65" t="s">
        <v>12674</v>
      </c>
      <c r="B241" s="65" t="s">
        <v>13120</v>
      </c>
    </row>
    <row r="242" spans="1:2">
      <c r="A242" s="65" t="s">
        <v>12670</v>
      </c>
      <c r="B242" s="65" t="s">
        <v>13117</v>
      </c>
    </row>
    <row r="243" spans="1:2">
      <c r="A243" s="65" t="s">
        <v>12673</v>
      </c>
      <c r="B243" s="65" t="s">
        <v>882</v>
      </c>
    </row>
    <row r="244" spans="1:2">
      <c r="A244" s="65" t="s">
        <v>12671</v>
      </c>
      <c r="B244" s="65" t="s">
        <v>13118</v>
      </c>
    </row>
    <row r="245" spans="1:2">
      <c r="A245" s="65" t="s">
        <v>12672</v>
      </c>
      <c r="B245" s="65" t="s">
        <v>13119</v>
      </c>
    </row>
    <row r="246" spans="1:2">
      <c r="A246" s="65" t="s">
        <v>12675</v>
      </c>
      <c r="B246" s="65" t="s">
        <v>13121</v>
      </c>
    </row>
    <row r="247" spans="1:2">
      <c r="A247" s="65" t="s">
        <v>12499</v>
      </c>
      <c r="B247" s="65" t="s">
        <v>12977</v>
      </c>
    </row>
    <row r="248" spans="1:2">
      <c r="A248" s="65" t="s">
        <v>12677</v>
      </c>
      <c r="B248" s="65" t="s">
        <v>13123</v>
      </c>
    </row>
    <row r="249" spans="1:2">
      <c r="A249" s="65" t="s">
        <v>12680</v>
      </c>
      <c r="B249" s="65" t="s">
        <v>884</v>
      </c>
    </row>
    <row r="250" spans="1:2">
      <c r="A250" s="65" t="s">
        <v>12681</v>
      </c>
      <c r="B250" s="65"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5D70681-93A3-4634-ADB6-D1DCC5E6669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934FE3C-7AA8-4070-897A-853FDBCB019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Declaration!Area_stampa</vt:lpstr>
      <vt:lpstr>CL</vt:lpstr>
      <vt:lpstr>LN</vt:lpstr>
      <vt:lpstr>'Smelter List'!Metal</vt:lpstr>
      <vt:lpstr>SL</vt:lpstr>
      <vt:lpstr>SmelterIdetifiedForMetal</vt:lpstr>
      <vt:lpstr>Declaration!Titoli_stampa</vt:lpstr>
      <vt:lpstr>'Product List'!Titoli_stampa</vt:lpstr>
      <vt:lpstr>'Smelter List'!Titoli_stampa</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Angela Garzieri</cp:lastModifiedBy>
  <cp:lastPrinted>2015-04-21T20:47:43Z</cp:lastPrinted>
  <dcterms:created xsi:type="dcterms:W3CDTF">2010-06-21T21:00:23Z</dcterms:created>
  <dcterms:modified xsi:type="dcterms:W3CDTF">2024-08-28T14:28:09Z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